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Victoria.Selepe\Desktop\Documents RFQ 27419\"/>
    </mc:Choice>
  </mc:AlternateContent>
  <xr:revisionPtr revIDLastSave="0" documentId="8_{2AAD8744-E7C8-404E-B1CD-940D77405EE9}" xr6:coauthVersionLast="47" xr6:coauthVersionMax="47" xr10:uidLastSave="{00000000-0000-0000-0000-000000000000}"/>
  <bookViews>
    <workbookView xWindow="-120" yWindow="-120" windowWidth="20730" windowHeight="11160" firstSheet="1" activeTab="1" xr2:uid="{00000000-000D-0000-FFFF-FFFF00000000}"/>
  </bookViews>
  <sheets>
    <sheet name="Tender - Waste Monitoring" sheetId="7" r:id="rId1"/>
    <sheet name="Waste Monitoring - % Splits" sheetId="9" r:id="rId2"/>
    <sheet name="Waste Monitoring - Return Proje" sheetId="10" r:id="rId3"/>
    <sheet name="Tender - Recycling Proj" sheetId="11" r:id="rId4"/>
    <sheet name="Sheet2" sheetId="2" state="hidden" r:id="rId5"/>
  </sheets>
  <definedNames>
    <definedName name="_xlnm.Print_Area" localSheetId="3">'Tender - Recycling Proj'!$B$1:$E$50</definedName>
    <definedName name="_xlnm.Print_Area" localSheetId="0">'Tender - Waste Monitoring'!$A$1:$P$502</definedName>
    <definedName name="_xlnm.Print_Area" localSheetId="1">'Waste Monitoring - % Splits'!$A$1:$W$73</definedName>
    <definedName name="_xlnm.Print_Area" localSheetId="2">'Waste Monitoring - Return Proje'!$A$1:$H$73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496" i="7" l="1"/>
  <c r="C487" i="7"/>
  <c r="C482" i="7"/>
  <c r="C478" i="7"/>
  <c r="C472" i="7"/>
  <c r="C458" i="7"/>
  <c r="C460" i="7" s="1"/>
  <c r="N424" i="7"/>
  <c r="M424" i="7"/>
  <c r="L424" i="7"/>
  <c r="K424" i="7"/>
  <c r="J424" i="7"/>
  <c r="I424" i="7"/>
  <c r="H424" i="7"/>
  <c r="G424" i="7"/>
  <c r="F424" i="7"/>
  <c r="E424" i="7"/>
  <c r="D424" i="7"/>
  <c r="C424" i="7"/>
  <c r="N415" i="7"/>
  <c r="M415" i="7"/>
  <c r="L415" i="7"/>
  <c r="K415" i="7"/>
  <c r="J415" i="7"/>
  <c r="I415" i="7"/>
  <c r="H415" i="7"/>
  <c r="H426" i="7" s="1"/>
  <c r="G415" i="7"/>
  <c r="G426" i="7" s="1"/>
  <c r="F415" i="7"/>
  <c r="E415" i="7"/>
  <c r="D415" i="7"/>
  <c r="C415" i="7"/>
  <c r="N406" i="7"/>
  <c r="M406" i="7"/>
  <c r="L406" i="7"/>
  <c r="K406" i="7"/>
  <c r="J406" i="7"/>
  <c r="I406" i="7"/>
  <c r="H406" i="7"/>
  <c r="G406" i="7"/>
  <c r="F406" i="7"/>
  <c r="E406" i="7"/>
  <c r="D406" i="7"/>
  <c r="C406" i="7"/>
  <c r="N400" i="7"/>
  <c r="M400" i="7"/>
  <c r="L400" i="7"/>
  <c r="K400" i="7"/>
  <c r="J400" i="7"/>
  <c r="I400" i="7"/>
  <c r="H400" i="7"/>
  <c r="G400" i="7"/>
  <c r="F400" i="7"/>
  <c r="E400" i="7"/>
  <c r="D400" i="7"/>
  <c r="C400" i="7"/>
  <c r="N386" i="7"/>
  <c r="M386" i="7"/>
  <c r="L386" i="7"/>
  <c r="J386" i="7"/>
  <c r="I386" i="7"/>
  <c r="I388" i="7" s="1"/>
  <c r="H386" i="7"/>
  <c r="G386" i="7"/>
  <c r="F386" i="7"/>
  <c r="F388" i="7" s="1"/>
  <c r="E386" i="7"/>
  <c r="D386" i="7"/>
  <c r="C386" i="7"/>
  <c r="N352" i="7"/>
  <c r="M352" i="7"/>
  <c r="L352" i="7"/>
  <c r="K352" i="7"/>
  <c r="J352" i="7"/>
  <c r="I352" i="7"/>
  <c r="H352" i="7"/>
  <c r="G352" i="7"/>
  <c r="F352" i="7"/>
  <c r="E352" i="7"/>
  <c r="D352" i="7"/>
  <c r="C352" i="7"/>
  <c r="M343" i="7"/>
  <c r="L343" i="7"/>
  <c r="I343" i="7"/>
  <c r="G343" i="7"/>
  <c r="F343" i="7"/>
  <c r="N334" i="7"/>
  <c r="M334" i="7"/>
  <c r="L334" i="7"/>
  <c r="K334" i="7"/>
  <c r="J334" i="7"/>
  <c r="I334" i="7"/>
  <c r="H334" i="7"/>
  <c r="G334" i="7"/>
  <c r="F334" i="7"/>
  <c r="E334" i="7"/>
  <c r="D334" i="7"/>
  <c r="C334" i="7"/>
  <c r="N328" i="7"/>
  <c r="M328" i="7"/>
  <c r="L328" i="7"/>
  <c r="K328" i="7"/>
  <c r="J328" i="7"/>
  <c r="I328" i="7"/>
  <c r="H328" i="7"/>
  <c r="G328" i="7"/>
  <c r="F328" i="7"/>
  <c r="E328" i="7"/>
  <c r="D328" i="7"/>
  <c r="C328" i="7"/>
  <c r="N314" i="7"/>
  <c r="O314" i="7" s="1"/>
  <c r="P314" i="7" s="1"/>
  <c r="L314" i="7"/>
  <c r="K314" i="7"/>
  <c r="J314" i="7"/>
  <c r="F314" i="7"/>
  <c r="N280" i="7"/>
  <c r="M280" i="7"/>
  <c r="L280" i="7"/>
  <c r="K280" i="7"/>
  <c r="J280" i="7"/>
  <c r="I280" i="7"/>
  <c r="H280" i="7"/>
  <c r="G280" i="7"/>
  <c r="F280" i="7"/>
  <c r="E280" i="7"/>
  <c r="E282" i="7" s="1"/>
  <c r="E286" i="7" s="1"/>
  <c r="E230" i="7" s="1"/>
  <c r="D280" i="7"/>
  <c r="D282" i="7" s="1"/>
  <c r="D286" i="7" s="1"/>
  <c r="D230" i="7" s="1"/>
  <c r="C280" i="7"/>
  <c r="N271" i="7"/>
  <c r="M271" i="7"/>
  <c r="L271" i="7"/>
  <c r="L282" i="7" s="1"/>
  <c r="L286" i="7" s="1"/>
  <c r="L230" i="7" s="1"/>
  <c r="K271" i="7"/>
  <c r="J271" i="7"/>
  <c r="I271" i="7"/>
  <c r="H271" i="7"/>
  <c r="G271" i="7"/>
  <c r="F271" i="7"/>
  <c r="E271" i="7"/>
  <c r="D271" i="7"/>
  <c r="C271" i="7"/>
  <c r="N262" i="7"/>
  <c r="M262" i="7"/>
  <c r="L262" i="7"/>
  <c r="K262" i="7"/>
  <c r="J262" i="7"/>
  <c r="I262" i="7"/>
  <c r="H262" i="7"/>
  <c r="G262" i="7"/>
  <c r="F262" i="7"/>
  <c r="E262" i="7"/>
  <c r="D262" i="7"/>
  <c r="C262" i="7"/>
  <c r="N256" i="7"/>
  <c r="M256" i="7"/>
  <c r="L256" i="7"/>
  <c r="K256" i="7"/>
  <c r="J256" i="7"/>
  <c r="J282" i="7" s="1"/>
  <c r="J286" i="7" s="1"/>
  <c r="J230" i="7" s="1"/>
  <c r="I256" i="7"/>
  <c r="H256" i="7"/>
  <c r="H282" i="7" s="1"/>
  <c r="G256" i="7"/>
  <c r="F256" i="7"/>
  <c r="E256" i="7"/>
  <c r="D256" i="7"/>
  <c r="C256" i="7"/>
  <c r="N242" i="7"/>
  <c r="M242" i="7"/>
  <c r="L242" i="7"/>
  <c r="K242" i="7"/>
  <c r="J242" i="7"/>
  <c r="I242" i="7"/>
  <c r="H242" i="7"/>
  <c r="G242" i="7"/>
  <c r="F242" i="7"/>
  <c r="E242" i="7"/>
  <c r="D242" i="7"/>
  <c r="C242" i="7"/>
  <c r="N210" i="7"/>
  <c r="M210" i="7"/>
  <c r="L210" i="7"/>
  <c r="K210" i="7"/>
  <c r="K212" i="7" s="1"/>
  <c r="J210" i="7"/>
  <c r="I210" i="7"/>
  <c r="H210" i="7"/>
  <c r="G210" i="7"/>
  <c r="F210" i="7"/>
  <c r="F212" i="7" s="1"/>
  <c r="F216" i="7" s="1"/>
  <c r="F160" i="7" s="1"/>
  <c r="E210" i="7"/>
  <c r="D210" i="7"/>
  <c r="C210" i="7"/>
  <c r="N201" i="7"/>
  <c r="M201" i="7"/>
  <c r="L201" i="7"/>
  <c r="K201" i="7"/>
  <c r="J201" i="7"/>
  <c r="I201" i="7"/>
  <c r="H201" i="7"/>
  <c r="G201" i="7"/>
  <c r="F201" i="7"/>
  <c r="E201" i="7"/>
  <c r="D201" i="7"/>
  <c r="C201" i="7"/>
  <c r="N192" i="7"/>
  <c r="M192" i="7"/>
  <c r="L192" i="7"/>
  <c r="K192" i="7"/>
  <c r="J192" i="7"/>
  <c r="I192" i="7"/>
  <c r="H192" i="7"/>
  <c r="G192" i="7"/>
  <c r="F192" i="7"/>
  <c r="E192" i="7"/>
  <c r="D192" i="7"/>
  <c r="D212" i="7" s="1"/>
  <c r="D216" i="7" s="1"/>
  <c r="D160" i="7" s="1"/>
  <c r="C192" i="7"/>
  <c r="N186" i="7"/>
  <c r="M186" i="7"/>
  <c r="L186" i="7"/>
  <c r="K186" i="7"/>
  <c r="J186" i="7"/>
  <c r="I186" i="7"/>
  <c r="H186" i="7"/>
  <c r="G186" i="7"/>
  <c r="F186" i="7"/>
  <c r="E186" i="7"/>
  <c r="D186" i="7"/>
  <c r="C186" i="7"/>
  <c r="N172" i="7"/>
  <c r="M172" i="7"/>
  <c r="M174" i="7" s="1"/>
  <c r="L172" i="7"/>
  <c r="K172" i="7"/>
  <c r="J172" i="7"/>
  <c r="I172" i="7"/>
  <c r="H172" i="7"/>
  <c r="G172" i="7"/>
  <c r="F172" i="7"/>
  <c r="E172" i="7"/>
  <c r="D172" i="7"/>
  <c r="C172" i="7"/>
  <c r="N101" i="7"/>
  <c r="M101" i="7"/>
  <c r="L101" i="7"/>
  <c r="K101" i="7"/>
  <c r="J101" i="7"/>
  <c r="J103" i="7" s="1"/>
  <c r="I101" i="7"/>
  <c r="H101" i="7"/>
  <c r="G101" i="7"/>
  <c r="F101" i="7"/>
  <c r="F103" i="7" s="1"/>
  <c r="E101" i="7"/>
  <c r="D101" i="7"/>
  <c r="C101" i="7"/>
  <c r="N139" i="7"/>
  <c r="M139" i="7"/>
  <c r="L139" i="7"/>
  <c r="K139" i="7"/>
  <c r="J139" i="7"/>
  <c r="I139" i="7"/>
  <c r="I141" i="7" s="1"/>
  <c r="H139" i="7"/>
  <c r="G139" i="7"/>
  <c r="F139" i="7"/>
  <c r="E139" i="7"/>
  <c r="D139" i="7"/>
  <c r="C139" i="7"/>
  <c r="N130" i="7"/>
  <c r="N141" i="7" s="1"/>
  <c r="M130" i="7"/>
  <c r="L130" i="7"/>
  <c r="L141" i="7" s="1"/>
  <c r="K130" i="7"/>
  <c r="J130" i="7"/>
  <c r="I130" i="7"/>
  <c r="H130" i="7"/>
  <c r="G130" i="7"/>
  <c r="F130" i="7"/>
  <c r="E130" i="7"/>
  <c r="D130" i="7"/>
  <c r="C130" i="7"/>
  <c r="N121" i="7"/>
  <c r="M121" i="7"/>
  <c r="L121" i="7"/>
  <c r="K121" i="7"/>
  <c r="K141" i="7" s="1"/>
  <c r="J121" i="7"/>
  <c r="J141" i="7" s="1"/>
  <c r="I121" i="7"/>
  <c r="H121" i="7"/>
  <c r="G121" i="7"/>
  <c r="F121" i="7"/>
  <c r="F141" i="7" s="1"/>
  <c r="E121" i="7"/>
  <c r="D121" i="7"/>
  <c r="C121" i="7"/>
  <c r="N115" i="7"/>
  <c r="M115" i="7"/>
  <c r="L115" i="7"/>
  <c r="K115" i="7"/>
  <c r="J115" i="7"/>
  <c r="I115" i="7"/>
  <c r="H115" i="7"/>
  <c r="G115" i="7"/>
  <c r="F115" i="7"/>
  <c r="E115" i="7"/>
  <c r="D115" i="7"/>
  <c r="C115" i="7"/>
  <c r="N66" i="7"/>
  <c r="M66" i="7"/>
  <c r="L66" i="7"/>
  <c r="K66" i="7"/>
  <c r="J66" i="7"/>
  <c r="I66" i="7"/>
  <c r="H66" i="7"/>
  <c r="G66" i="7"/>
  <c r="F66" i="7"/>
  <c r="E66" i="7"/>
  <c r="D66" i="7"/>
  <c r="C66" i="7"/>
  <c r="N57" i="7"/>
  <c r="M57" i="7"/>
  <c r="L57" i="7"/>
  <c r="L68" i="7" s="1"/>
  <c r="L72" i="7" s="1"/>
  <c r="L16" i="7" s="1"/>
  <c r="K57" i="7"/>
  <c r="J57" i="7"/>
  <c r="I57" i="7"/>
  <c r="H57" i="7"/>
  <c r="F57" i="7"/>
  <c r="E57" i="7"/>
  <c r="D57" i="7"/>
  <c r="C57" i="7"/>
  <c r="L52" i="7"/>
  <c r="K52" i="7"/>
  <c r="J52" i="7"/>
  <c r="I52" i="7"/>
  <c r="H52" i="7"/>
  <c r="G52" i="7"/>
  <c r="F52" i="7"/>
  <c r="E52" i="7"/>
  <c r="D52" i="7"/>
  <c r="C52" i="7"/>
  <c r="N48" i="7"/>
  <c r="M48" i="7"/>
  <c r="L48" i="7"/>
  <c r="K48" i="7"/>
  <c r="J48" i="7"/>
  <c r="I48" i="7"/>
  <c r="H48" i="7"/>
  <c r="G48" i="7"/>
  <c r="F48" i="7"/>
  <c r="E48" i="7"/>
  <c r="D48" i="7"/>
  <c r="C48" i="7"/>
  <c r="N42" i="7"/>
  <c r="M42" i="7"/>
  <c r="L42" i="7"/>
  <c r="K42" i="7"/>
  <c r="J42" i="7"/>
  <c r="I42" i="7"/>
  <c r="H42" i="7"/>
  <c r="G42" i="7"/>
  <c r="F42" i="7"/>
  <c r="E42" i="7"/>
  <c r="D42" i="7"/>
  <c r="C42" i="7"/>
  <c r="N28" i="7"/>
  <c r="M28" i="7"/>
  <c r="L28" i="7"/>
  <c r="K28" i="7"/>
  <c r="J28" i="7"/>
  <c r="I28" i="7"/>
  <c r="H28" i="7"/>
  <c r="G28" i="7"/>
  <c r="F28" i="7"/>
  <c r="E28" i="7"/>
  <c r="D28" i="7"/>
  <c r="C28" i="7"/>
  <c r="C498" i="7"/>
  <c r="N426" i="7"/>
  <c r="M426" i="7"/>
  <c r="M430" i="7" s="1"/>
  <c r="M374" i="7" s="1"/>
  <c r="L426" i="7"/>
  <c r="L430" i="7" s="1"/>
  <c r="L374" i="7" s="1"/>
  <c r="K426" i="7"/>
  <c r="J426" i="7"/>
  <c r="I426" i="7"/>
  <c r="E426" i="7"/>
  <c r="D426" i="7"/>
  <c r="C426" i="7"/>
  <c r="N354" i="7"/>
  <c r="M354" i="7"/>
  <c r="L354" i="7"/>
  <c r="J354" i="7"/>
  <c r="J358" i="7" s="1"/>
  <c r="J302" i="7" s="1"/>
  <c r="H354" i="7"/>
  <c r="G354" i="7"/>
  <c r="F354" i="7"/>
  <c r="F358" i="7" s="1"/>
  <c r="F302" i="7" s="1"/>
  <c r="E354" i="7"/>
  <c r="E358" i="7" s="1"/>
  <c r="E302" i="7" s="1"/>
  <c r="D354" i="7"/>
  <c r="C354" i="7"/>
  <c r="N282" i="7"/>
  <c r="M282" i="7"/>
  <c r="M286" i="7" s="1"/>
  <c r="M230" i="7" s="1"/>
  <c r="K282" i="7"/>
  <c r="I282" i="7"/>
  <c r="G282" i="7"/>
  <c r="F282" i="7"/>
  <c r="C282" i="7"/>
  <c r="N212" i="7"/>
  <c r="M212" i="7"/>
  <c r="L212" i="7"/>
  <c r="J212" i="7"/>
  <c r="H212" i="7"/>
  <c r="H216" i="7" s="1"/>
  <c r="H160" i="7" s="1"/>
  <c r="G212" i="7"/>
  <c r="G216" i="7" s="1"/>
  <c r="G160" i="7" s="1"/>
  <c r="M141" i="7"/>
  <c r="H141" i="7"/>
  <c r="G141" i="7"/>
  <c r="E141" i="7"/>
  <c r="D141" i="7"/>
  <c r="C141" i="7"/>
  <c r="M68" i="7"/>
  <c r="K68" i="7"/>
  <c r="I68" i="7"/>
  <c r="H68" i="7"/>
  <c r="G68" i="7"/>
  <c r="F68" i="7"/>
  <c r="E68" i="7"/>
  <c r="D68" i="7"/>
  <c r="C68" i="7"/>
  <c r="N388" i="7"/>
  <c r="M388" i="7"/>
  <c r="L388" i="7"/>
  <c r="K388" i="7"/>
  <c r="J388" i="7"/>
  <c r="H388" i="7"/>
  <c r="G388" i="7"/>
  <c r="E388" i="7"/>
  <c r="D388" i="7"/>
  <c r="C388" i="7"/>
  <c r="N316" i="7"/>
  <c r="N358" i="7" s="1"/>
  <c r="N302" i="7" s="1"/>
  <c r="M316" i="7"/>
  <c r="L316" i="7"/>
  <c r="K316" i="7"/>
  <c r="J316" i="7"/>
  <c r="I316" i="7"/>
  <c r="H316" i="7"/>
  <c r="G316" i="7"/>
  <c r="F316" i="7"/>
  <c r="E316" i="7"/>
  <c r="D316" i="7"/>
  <c r="C316" i="7"/>
  <c r="N244" i="7"/>
  <c r="M244" i="7"/>
  <c r="L244" i="7"/>
  <c r="K244" i="7"/>
  <c r="J244" i="7"/>
  <c r="I244" i="7"/>
  <c r="H244" i="7"/>
  <c r="G244" i="7"/>
  <c r="F244" i="7"/>
  <c r="E244" i="7"/>
  <c r="D244" i="7"/>
  <c r="C244" i="7"/>
  <c r="C286" i="7" s="1"/>
  <c r="N174" i="7"/>
  <c r="L174" i="7"/>
  <c r="K174" i="7"/>
  <c r="J174" i="7"/>
  <c r="I174" i="7"/>
  <c r="H174" i="7"/>
  <c r="G174" i="7"/>
  <c r="F174" i="7"/>
  <c r="E174" i="7"/>
  <c r="D174" i="7"/>
  <c r="C174" i="7"/>
  <c r="N103" i="7"/>
  <c r="M103" i="7"/>
  <c r="L103" i="7"/>
  <c r="K103" i="7"/>
  <c r="I103" i="7"/>
  <c r="H103" i="7"/>
  <c r="G103" i="7"/>
  <c r="E103" i="7"/>
  <c r="D103" i="7"/>
  <c r="D145" i="7" s="1"/>
  <c r="D89" i="7" s="1"/>
  <c r="C103" i="7"/>
  <c r="C145" i="7" s="1"/>
  <c r="C89" i="7" s="1"/>
  <c r="N30" i="7"/>
  <c r="M30" i="7"/>
  <c r="L30" i="7"/>
  <c r="K30" i="7"/>
  <c r="J30" i="7"/>
  <c r="I30" i="7"/>
  <c r="H30" i="7"/>
  <c r="G30" i="7"/>
  <c r="F30" i="7"/>
  <c r="E30" i="7"/>
  <c r="D30" i="7"/>
  <c r="C30" i="7"/>
  <c r="C72" i="7" s="1"/>
  <c r="N430" i="7"/>
  <c r="N374" i="7" s="1"/>
  <c r="K430" i="7"/>
  <c r="K374" i="7" s="1"/>
  <c r="J430" i="7"/>
  <c r="J374" i="7" s="1"/>
  <c r="M358" i="7"/>
  <c r="H358" i="7"/>
  <c r="H302" i="7" s="1"/>
  <c r="G358" i="7"/>
  <c r="G302" i="7" s="1"/>
  <c r="D358" i="7"/>
  <c r="C358" i="7"/>
  <c r="C302" i="7" s="1"/>
  <c r="N286" i="7"/>
  <c r="N230" i="7" s="1"/>
  <c r="K286" i="7"/>
  <c r="K230" i="7" s="1"/>
  <c r="G286" i="7"/>
  <c r="F286" i="7"/>
  <c r="F230" i="7" s="1"/>
  <c r="L216" i="7"/>
  <c r="L160" i="7" s="1"/>
  <c r="J216" i="7"/>
  <c r="M145" i="7"/>
  <c r="M89" i="7" s="1"/>
  <c r="H145" i="7"/>
  <c r="H89" i="7" s="1"/>
  <c r="G145" i="7"/>
  <c r="M72" i="7"/>
  <c r="K72" i="7"/>
  <c r="K16" i="7" s="1"/>
  <c r="I72" i="7"/>
  <c r="H72" i="7"/>
  <c r="G72" i="7"/>
  <c r="F72" i="7"/>
  <c r="E72" i="7"/>
  <c r="E16" i="7" s="1"/>
  <c r="D72" i="7"/>
  <c r="M302" i="7"/>
  <c r="D302" i="7"/>
  <c r="G230" i="7"/>
  <c r="J160" i="7"/>
  <c r="G89" i="7"/>
  <c r="M16" i="7"/>
  <c r="I16" i="7"/>
  <c r="H16" i="7"/>
  <c r="G16" i="7"/>
  <c r="F16" i="7"/>
  <c r="D16" i="7"/>
  <c r="P476" i="7"/>
  <c r="P423" i="7"/>
  <c r="P422" i="7"/>
  <c r="P420" i="7"/>
  <c r="P419" i="7"/>
  <c r="P417" i="7"/>
  <c r="P414" i="7"/>
  <c r="P413" i="7"/>
  <c r="P405" i="7"/>
  <c r="P404" i="7"/>
  <c r="P403" i="7"/>
  <c r="P402" i="7"/>
  <c r="P396" i="7"/>
  <c r="P395" i="7"/>
  <c r="P392" i="7"/>
  <c r="P384" i="7"/>
  <c r="P382" i="7"/>
  <c r="P379" i="7"/>
  <c r="P351" i="7"/>
  <c r="P348" i="7"/>
  <c r="P347" i="7"/>
  <c r="P342" i="7"/>
  <c r="P341" i="7"/>
  <c r="P340" i="7"/>
  <c r="P333" i="7"/>
  <c r="P332" i="7"/>
  <c r="P331" i="7"/>
  <c r="P330" i="7"/>
  <c r="P324" i="7"/>
  <c r="P322" i="7"/>
  <c r="P320" i="7"/>
  <c r="P313" i="7"/>
  <c r="P310" i="7"/>
  <c r="P307" i="7"/>
  <c r="P279" i="7"/>
  <c r="P276" i="7"/>
  <c r="P275" i="7"/>
  <c r="P274" i="7"/>
  <c r="P273" i="7"/>
  <c r="P270" i="7"/>
  <c r="P269" i="7"/>
  <c r="P268" i="7"/>
  <c r="P261" i="7"/>
  <c r="P260" i="7"/>
  <c r="P259" i="7"/>
  <c r="P258" i="7"/>
  <c r="P255" i="7"/>
  <c r="P254" i="7"/>
  <c r="P253" i="7"/>
  <c r="P252" i="7"/>
  <c r="P251" i="7"/>
  <c r="P250" i="7"/>
  <c r="P249" i="7"/>
  <c r="P248" i="7"/>
  <c r="P241" i="7"/>
  <c r="P240" i="7"/>
  <c r="P239" i="7"/>
  <c r="P238" i="7"/>
  <c r="P235" i="7"/>
  <c r="P209" i="7"/>
  <c r="P207" i="7"/>
  <c r="P206" i="7"/>
  <c r="P205" i="7"/>
  <c r="P203" i="7"/>
  <c r="P200" i="7"/>
  <c r="P199" i="7"/>
  <c r="P191" i="7"/>
  <c r="P190" i="7"/>
  <c r="P189" i="7"/>
  <c r="P188" i="7"/>
  <c r="P185" i="7"/>
  <c r="P184" i="7"/>
  <c r="P183" i="7"/>
  <c r="P182" i="7"/>
  <c r="P181" i="7"/>
  <c r="P180" i="7"/>
  <c r="P179" i="7"/>
  <c r="P178" i="7"/>
  <c r="P171" i="7"/>
  <c r="P170" i="7"/>
  <c r="P169" i="7"/>
  <c r="P168" i="7"/>
  <c r="P165" i="7"/>
  <c r="P138" i="7"/>
  <c r="P137" i="7"/>
  <c r="P135" i="7"/>
  <c r="P134" i="7"/>
  <c r="P133" i="7"/>
  <c r="P132" i="7"/>
  <c r="P129" i="7"/>
  <c r="P128" i="7"/>
  <c r="P127" i="7"/>
  <c r="P120" i="7"/>
  <c r="P119" i="7"/>
  <c r="P118" i="7"/>
  <c r="P117" i="7"/>
  <c r="P114" i="7"/>
  <c r="P113" i="7"/>
  <c r="P112" i="7"/>
  <c r="P111" i="7"/>
  <c r="P110" i="7"/>
  <c r="P109" i="7"/>
  <c r="P108" i="7"/>
  <c r="P107" i="7"/>
  <c r="P100" i="7"/>
  <c r="P99" i="7"/>
  <c r="P98" i="7"/>
  <c r="P97" i="7"/>
  <c r="P94" i="7"/>
  <c r="P65" i="7"/>
  <c r="P64" i="7"/>
  <c r="P62" i="7"/>
  <c r="P61" i="7"/>
  <c r="P59" i="7"/>
  <c r="P56" i="7"/>
  <c r="P55" i="7"/>
  <c r="P54" i="7"/>
  <c r="P47" i="7"/>
  <c r="P46" i="7"/>
  <c r="P45" i="7"/>
  <c r="P44" i="7"/>
  <c r="P37" i="7"/>
  <c r="P36" i="7"/>
  <c r="P35" i="7"/>
  <c r="P34" i="7"/>
  <c r="P26" i="7"/>
  <c r="P25" i="7"/>
  <c r="P24" i="7"/>
  <c r="P21" i="7"/>
  <c r="O495" i="7"/>
  <c r="P495" i="7" s="1"/>
  <c r="O494" i="7"/>
  <c r="O493" i="7"/>
  <c r="O492" i="7"/>
  <c r="P492" i="7" s="1"/>
  <c r="O491" i="7"/>
  <c r="P491" i="7" s="1"/>
  <c r="O490" i="7"/>
  <c r="O489" i="7"/>
  <c r="P489" i="7" s="1"/>
  <c r="O486" i="7"/>
  <c r="O485" i="7"/>
  <c r="P485" i="7" s="1"/>
  <c r="O484" i="7"/>
  <c r="O481" i="7"/>
  <c r="O480" i="7"/>
  <c r="O477" i="7"/>
  <c r="O476" i="7"/>
  <c r="O475" i="7"/>
  <c r="P475" i="7" s="1"/>
  <c r="O474" i="7"/>
  <c r="P474" i="7" s="1"/>
  <c r="O471" i="7"/>
  <c r="O470" i="7"/>
  <c r="P470" i="7" s="1"/>
  <c r="O469" i="7"/>
  <c r="O468" i="7"/>
  <c r="P468" i="7" s="1"/>
  <c r="O467" i="7"/>
  <c r="P467" i="7" s="1"/>
  <c r="O465" i="7"/>
  <c r="O464" i="7"/>
  <c r="P464" i="7" s="1"/>
  <c r="O457" i="7"/>
  <c r="O456" i="7"/>
  <c r="O455" i="7"/>
  <c r="O454" i="7"/>
  <c r="O451" i="7"/>
  <c r="P451" i="7" s="1"/>
  <c r="O423" i="7"/>
  <c r="O422" i="7"/>
  <c r="O421" i="7"/>
  <c r="O420" i="7"/>
  <c r="O419" i="7"/>
  <c r="O418" i="7"/>
  <c r="O417" i="7"/>
  <c r="O414" i="7"/>
  <c r="O413" i="7"/>
  <c r="O412" i="7"/>
  <c r="O410" i="7"/>
  <c r="O409" i="7"/>
  <c r="O408" i="7"/>
  <c r="O405" i="7"/>
  <c r="O404" i="7"/>
  <c r="O403" i="7"/>
  <c r="O402" i="7"/>
  <c r="O399" i="7"/>
  <c r="O398" i="7"/>
  <c r="O397" i="7"/>
  <c r="O396" i="7"/>
  <c r="O395" i="7"/>
  <c r="O394" i="7"/>
  <c r="O393" i="7"/>
  <c r="O392" i="7"/>
  <c r="O386" i="7"/>
  <c r="P386" i="7" s="1"/>
  <c r="O385" i="7"/>
  <c r="O384" i="7"/>
  <c r="O383" i="7"/>
  <c r="O382" i="7"/>
  <c r="O379" i="7"/>
  <c r="O351" i="7"/>
  <c r="O350" i="7"/>
  <c r="O349" i="7"/>
  <c r="O348" i="7"/>
  <c r="O347" i="7"/>
  <c r="O346" i="7"/>
  <c r="O345" i="7"/>
  <c r="O342" i="7"/>
  <c r="O341" i="7"/>
  <c r="O340" i="7"/>
  <c r="O338" i="7"/>
  <c r="O337" i="7"/>
  <c r="O336" i="7"/>
  <c r="O334" i="7"/>
  <c r="P334" i="7" s="1"/>
  <c r="O333" i="7"/>
  <c r="O332" i="7"/>
  <c r="O331" i="7"/>
  <c r="O330" i="7"/>
  <c r="O327" i="7"/>
  <c r="O326" i="7"/>
  <c r="O325" i="7"/>
  <c r="O324" i="7"/>
  <c r="O323" i="7"/>
  <c r="O322" i="7"/>
  <c r="O321" i="7"/>
  <c r="O320" i="7"/>
  <c r="O316" i="7"/>
  <c r="P316" i="7" s="1"/>
  <c r="O313" i="7"/>
  <c r="O310" i="7"/>
  <c r="O307" i="7"/>
  <c r="O279" i="7"/>
  <c r="O278" i="7"/>
  <c r="O277" i="7"/>
  <c r="O276" i="7"/>
  <c r="O275" i="7"/>
  <c r="O273" i="7"/>
  <c r="O271" i="7"/>
  <c r="P271" i="7" s="1"/>
  <c r="O270" i="7"/>
  <c r="O269" i="7"/>
  <c r="O268" i="7"/>
  <c r="O265" i="7"/>
  <c r="O264" i="7"/>
  <c r="O261" i="7"/>
  <c r="O260" i="7"/>
  <c r="O259" i="7"/>
  <c r="O258" i="7"/>
  <c r="O255" i="7"/>
  <c r="O254" i="7"/>
  <c r="O253" i="7"/>
  <c r="O252" i="7"/>
  <c r="O251" i="7"/>
  <c r="O250" i="7"/>
  <c r="O249" i="7"/>
  <c r="O248" i="7"/>
  <c r="O242" i="7"/>
  <c r="P242" i="7" s="1"/>
  <c r="O241" i="7"/>
  <c r="O240" i="7"/>
  <c r="O239" i="7"/>
  <c r="O238" i="7"/>
  <c r="O235" i="7"/>
  <c r="O209" i="7"/>
  <c r="O208" i="7"/>
  <c r="O207" i="7"/>
  <c r="O206" i="7"/>
  <c r="O205" i="7"/>
  <c r="O204" i="7"/>
  <c r="O203" i="7"/>
  <c r="O201" i="7"/>
  <c r="P201" i="7" s="1"/>
  <c r="O200" i="7"/>
  <c r="O199" i="7"/>
  <c r="O198" i="7"/>
  <c r="O196" i="7"/>
  <c r="O195" i="7"/>
  <c r="O194" i="7"/>
  <c r="O191" i="7"/>
  <c r="O190" i="7"/>
  <c r="O189" i="7"/>
  <c r="O188" i="7"/>
  <c r="O186" i="7"/>
  <c r="P186" i="7" s="1"/>
  <c r="O185" i="7"/>
  <c r="O184" i="7"/>
  <c r="O183" i="7"/>
  <c r="O182" i="7"/>
  <c r="O181" i="7"/>
  <c r="O180" i="7"/>
  <c r="O179" i="7"/>
  <c r="O178" i="7"/>
  <c r="O172" i="7"/>
  <c r="P172" i="7" s="1"/>
  <c r="O171" i="7"/>
  <c r="O170" i="7"/>
  <c r="O169" i="7"/>
  <c r="O168" i="7"/>
  <c r="O165" i="7"/>
  <c r="O139" i="7"/>
  <c r="P139" i="7" s="1"/>
  <c r="O138" i="7"/>
  <c r="O137" i="7"/>
  <c r="O136" i="7"/>
  <c r="O135" i="7"/>
  <c r="O134" i="7"/>
  <c r="O133" i="7"/>
  <c r="O132" i="7"/>
  <c r="O129" i="7"/>
  <c r="O128" i="7"/>
  <c r="O127" i="7"/>
  <c r="O125" i="7"/>
  <c r="O124" i="7"/>
  <c r="O123" i="7"/>
  <c r="O120" i="7"/>
  <c r="O119" i="7"/>
  <c r="O118" i="7"/>
  <c r="O117" i="7"/>
  <c r="O114" i="7"/>
  <c r="O113" i="7"/>
  <c r="O112" i="7"/>
  <c r="O111" i="7"/>
  <c r="O110" i="7"/>
  <c r="O109" i="7"/>
  <c r="O108" i="7"/>
  <c r="O107" i="7"/>
  <c r="O100" i="7"/>
  <c r="O98" i="7"/>
  <c r="O97" i="7"/>
  <c r="O94" i="7"/>
  <c r="O66" i="7"/>
  <c r="P66" i="7" s="1"/>
  <c r="O65" i="7"/>
  <c r="O64" i="7"/>
  <c r="O63" i="7"/>
  <c r="O62" i="7"/>
  <c r="O61" i="7"/>
  <c r="O60" i="7"/>
  <c r="O59" i="7"/>
  <c r="O57" i="7"/>
  <c r="P57" i="7" s="1"/>
  <c r="O56" i="7"/>
  <c r="O55" i="7"/>
  <c r="O54" i="7"/>
  <c r="O52" i="7"/>
  <c r="O51" i="7"/>
  <c r="O50" i="7"/>
  <c r="O47" i="7"/>
  <c r="O46" i="7"/>
  <c r="O45" i="7"/>
  <c r="O44" i="7"/>
  <c r="O42" i="7"/>
  <c r="P42" i="7" s="1"/>
  <c r="O41" i="7"/>
  <c r="O40" i="7"/>
  <c r="O39" i="7"/>
  <c r="O38" i="7"/>
  <c r="O37" i="7"/>
  <c r="O36" i="7"/>
  <c r="O35" i="7"/>
  <c r="O34" i="7"/>
  <c r="O30" i="7"/>
  <c r="P30" i="7" s="1"/>
  <c r="O28" i="7"/>
  <c r="P28" i="7" s="1"/>
  <c r="O27" i="7"/>
  <c r="O26" i="7"/>
  <c r="O25" i="7"/>
  <c r="O24" i="7"/>
  <c r="O21" i="7"/>
  <c r="C502" i="7" l="1"/>
  <c r="O424" i="7"/>
  <c r="P424" i="7" s="1"/>
  <c r="O415" i="7"/>
  <c r="P415" i="7" s="1"/>
  <c r="O406" i="7"/>
  <c r="P406" i="7" s="1"/>
  <c r="I430" i="7"/>
  <c r="I374" i="7" s="1"/>
  <c r="H430" i="7"/>
  <c r="H374" i="7" s="1"/>
  <c r="O400" i="7"/>
  <c r="P400" i="7" s="1"/>
  <c r="G430" i="7"/>
  <c r="G374" i="7" s="1"/>
  <c r="F426" i="7"/>
  <c r="O426" i="7" s="1"/>
  <c r="P426" i="7" s="1"/>
  <c r="E430" i="7"/>
  <c r="E374" i="7" s="1"/>
  <c r="D430" i="7"/>
  <c r="D374" i="7" s="1"/>
  <c r="C430" i="7"/>
  <c r="O388" i="7"/>
  <c r="P388" i="7" s="1"/>
  <c r="O352" i="7"/>
  <c r="P352" i="7" s="1"/>
  <c r="I354" i="7"/>
  <c r="I358" i="7" s="1"/>
  <c r="I302" i="7" s="1"/>
  <c r="L358" i="7"/>
  <c r="L302" i="7" s="1"/>
  <c r="O343" i="7"/>
  <c r="P343" i="7" s="1"/>
  <c r="O328" i="7"/>
  <c r="P328" i="7" s="1"/>
  <c r="K354" i="7"/>
  <c r="O354" i="7" s="1"/>
  <c r="P354" i="7" s="1"/>
  <c r="O280" i="7"/>
  <c r="P280" i="7" s="1"/>
  <c r="O262" i="7"/>
  <c r="P262" i="7" s="1"/>
  <c r="I286" i="7"/>
  <c r="I230" i="7" s="1"/>
  <c r="O282" i="7"/>
  <c r="P282" i="7" s="1"/>
  <c r="H286" i="7"/>
  <c r="H230" i="7" s="1"/>
  <c r="O256" i="7"/>
  <c r="P256" i="7" s="1"/>
  <c r="O244" i="7"/>
  <c r="P244" i="7" s="1"/>
  <c r="C230" i="7"/>
  <c r="N216" i="7"/>
  <c r="N160" i="7" s="1"/>
  <c r="I212" i="7"/>
  <c r="I216" i="7" s="1"/>
  <c r="I160" i="7" s="1"/>
  <c r="O210" i="7"/>
  <c r="P210" i="7" s="1"/>
  <c r="C212" i="7"/>
  <c r="E212" i="7"/>
  <c r="E216" i="7" s="1"/>
  <c r="E160" i="7" s="1"/>
  <c r="O192" i="7"/>
  <c r="P192" i="7" s="1"/>
  <c r="C216" i="7"/>
  <c r="C160" i="7" s="1"/>
  <c r="K216" i="7"/>
  <c r="K160" i="7" s="1"/>
  <c r="O174" i="7"/>
  <c r="P174" i="7" s="1"/>
  <c r="M216" i="7"/>
  <c r="M160" i="7" s="1"/>
  <c r="N145" i="7"/>
  <c r="N89" i="7" s="1"/>
  <c r="L145" i="7"/>
  <c r="L89" i="7" s="1"/>
  <c r="K145" i="7"/>
  <c r="K89" i="7" s="1"/>
  <c r="J145" i="7"/>
  <c r="J89" i="7" s="1"/>
  <c r="I145" i="7"/>
  <c r="I89" i="7" s="1"/>
  <c r="O103" i="7"/>
  <c r="P103" i="7" s="1"/>
  <c r="O101" i="7"/>
  <c r="P101" i="7" s="1"/>
  <c r="E145" i="7"/>
  <c r="O130" i="7"/>
  <c r="P130" i="7" s="1"/>
  <c r="F145" i="7"/>
  <c r="F89" i="7" s="1"/>
  <c r="O141" i="7"/>
  <c r="P141" i="7" s="1"/>
  <c r="O121" i="7"/>
  <c r="P121" i="7" s="1"/>
  <c r="O115" i="7"/>
  <c r="P115" i="7" s="1"/>
  <c r="E89" i="7"/>
  <c r="J68" i="7"/>
  <c r="J72" i="7" s="1"/>
  <c r="J16" i="7" s="1"/>
  <c r="N68" i="7"/>
  <c r="N72" i="7" s="1"/>
  <c r="O48" i="7"/>
  <c r="P48" i="7" s="1"/>
  <c r="C16" i="7"/>
  <c r="N446" i="7"/>
  <c r="M446" i="7"/>
  <c r="L446" i="7"/>
  <c r="K446" i="7"/>
  <c r="J446" i="7"/>
  <c r="I446" i="7"/>
  <c r="H446" i="7"/>
  <c r="G446" i="7"/>
  <c r="F446" i="7"/>
  <c r="P494" i="7"/>
  <c r="P493" i="7"/>
  <c r="P490" i="7"/>
  <c r="P486" i="7"/>
  <c r="P484" i="7"/>
  <c r="P481" i="7"/>
  <c r="P480" i="7"/>
  <c r="P477" i="7"/>
  <c r="P471" i="7"/>
  <c r="P469" i="7"/>
  <c r="P465" i="7"/>
  <c r="P457" i="7"/>
  <c r="P456" i="7"/>
  <c r="P455" i="7"/>
  <c r="P454" i="7"/>
  <c r="P421" i="7"/>
  <c r="P418" i="7"/>
  <c r="P412" i="7"/>
  <c r="P410" i="7"/>
  <c r="P409" i="7"/>
  <c r="P408" i="7"/>
  <c r="P399" i="7"/>
  <c r="P398" i="7"/>
  <c r="P397" i="7"/>
  <c r="P394" i="7"/>
  <c r="P393" i="7"/>
  <c r="P385" i="7"/>
  <c r="P383" i="7"/>
  <c r="P350" i="7"/>
  <c r="P349" i="7"/>
  <c r="P346" i="7"/>
  <c r="P345" i="7"/>
  <c r="P338" i="7"/>
  <c r="P337" i="7"/>
  <c r="P336" i="7"/>
  <c r="P327" i="7"/>
  <c r="P326" i="7"/>
  <c r="P325" i="7"/>
  <c r="P323" i="7"/>
  <c r="P321" i="7"/>
  <c r="P278" i="7"/>
  <c r="P277" i="7"/>
  <c r="P266" i="7"/>
  <c r="P265" i="7"/>
  <c r="P264" i="7"/>
  <c r="C446" i="7" l="1"/>
  <c r="O446" i="7" s="1"/>
  <c r="P446" i="7" s="1"/>
  <c r="F430" i="7"/>
  <c r="F374" i="7" s="1"/>
  <c r="O430" i="7"/>
  <c r="P430" i="7" s="1"/>
  <c r="C374" i="7"/>
  <c r="O374" i="7"/>
  <c r="P374" i="7" s="1"/>
  <c r="K358" i="7"/>
  <c r="O286" i="7"/>
  <c r="P286" i="7" s="1"/>
  <c r="O230" i="7"/>
  <c r="P230" i="7" s="1"/>
  <c r="O212" i="7"/>
  <c r="P212" i="7" s="1"/>
  <c r="O216" i="7"/>
  <c r="P216" i="7" s="1"/>
  <c r="O160" i="7"/>
  <c r="P160" i="7" s="1"/>
  <c r="O145" i="7"/>
  <c r="P145" i="7" s="1"/>
  <c r="O89" i="7"/>
  <c r="P89" i="7" s="1"/>
  <c r="O68" i="7"/>
  <c r="P68" i="7" s="1"/>
  <c r="N16" i="7"/>
  <c r="O72" i="7"/>
  <c r="P72" i="7" s="1"/>
  <c r="O16" i="7"/>
  <c r="P16" i="7" s="1"/>
  <c r="P208" i="7"/>
  <c r="P204" i="7"/>
  <c r="P198" i="7"/>
  <c r="P196" i="7"/>
  <c r="P195" i="7"/>
  <c r="P194" i="7"/>
  <c r="P136" i="7"/>
  <c r="P125" i="7"/>
  <c r="P124" i="7"/>
  <c r="P123" i="7"/>
  <c r="P63" i="7"/>
  <c r="P60" i="7"/>
  <c r="P52" i="7"/>
  <c r="P51" i="7"/>
  <c r="P50" i="7"/>
  <c r="P41" i="7"/>
  <c r="P40" i="7"/>
  <c r="P39" i="7"/>
  <c r="P38" i="7"/>
  <c r="P27" i="7"/>
  <c r="E314" i="7"/>
  <c r="O274" i="7"/>
  <c r="O266" i="7"/>
  <c r="O99" i="7"/>
  <c r="N502" i="7"/>
  <c r="M502" i="7"/>
  <c r="L502" i="7"/>
  <c r="K502" i="7"/>
  <c r="J502" i="7"/>
  <c r="I502" i="7"/>
  <c r="H502" i="7"/>
  <c r="G502" i="7"/>
  <c r="F502" i="7"/>
  <c r="N498" i="7"/>
  <c r="M498" i="7"/>
  <c r="L498" i="7"/>
  <c r="K498" i="7"/>
  <c r="J498" i="7"/>
  <c r="I498" i="7"/>
  <c r="H498" i="7"/>
  <c r="G498" i="7"/>
  <c r="F498" i="7"/>
  <c r="D496" i="7"/>
  <c r="N496" i="7"/>
  <c r="M496" i="7"/>
  <c r="L496" i="7"/>
  <c r="K496" i="7"/>
  <c r="J496" i="7"/>
  <c r="I496" i="7"/>
  <c r="H496" i="7"/>
  <c r="G496" i="7"/>
  <c r="F496" i="7"/>
  <c r="E496" i="7"/>
  <c r="N487" i="7"/>
  <c r="M487" i="7"/>
  <c r="L487" i="7"/>
  <c r="K487" i="7"/>
  <c r="J487" i="7"/>
  <c r="I487" i="7"/>
  <c r="H487" i="7"/>
  <c r="G487" i="7"/>
  <c r="F487" i="7"/>
  <c r="E487" i="7"/>
  <c r="D487" i="7"/>
  <c r="O487" i="7" s="1"/>
  <c r="P487" i="7" s="1"/>
  <c r="N482" i="7"/>
  <c r="M482" i="7"/>
  <c r="L482" i="7"/>
  <c r="K482" i="7"/>
  <c r="J482" i="7"/>
  <c r="I482" i="7"/>
  <c r="H482" i="7"/>
  <c r="G482" i="7"/>
  <c r="F482" i="7"/>
  <c r="E482" i="7"/>
  <c r="O482" i="7" s="1"/>
  <c r="P482" i="7" s="1"/>
  <c r="D482" i="7"/>
  <c r="N478" i="7"/>
  <c r="M478" i="7"/>
  <c r="L478" i="7"/>
  <c r="K478" i="7"/>
  <c r="J478" i="7"/>
  <c r="I478" i="7"/>
  <c r="H478" i="7"/>
  <c r="G478" i="7"/>
  <c r="F478" i="7"/>
  <c r="E478" i="7"/>
  <c r="D478" i="7"/>
  <c r="N472" i="7"/>
  <c r="M472" i="7"/>
  <c r="L472" i="7"/>
  <c r="K472" i="7"/>
  <c r="J472" i="7"/>
  <c r="I472" i="7"/>
  <c r="H472" i="7"/>
  <c r="G472" i="7"/>
  <c r="F472" i="7"/>
  <c r="E472" i="7"/>
  <c r="D472" i="7"/>
  <c r="N460" i="7"/>
  <c r="M460" i="7"/>
  <c r="L460" i="7"/>
  <c r="K460" i="7"/>
  <c r="J460" i="7"/>
  <c r="I460" i="7"/>
  <c r="H460" i="7"/>
  <c r="G460" i="7"/>
  <c r="F460" i="7"/>
  <c r="D460" i="7"/>
  <c r="N458" i="7"/>
  <c r="M458" i="7"/>
  <c r="L458" i="7"/>
  <c r="K458" i="7"/>
  <c r="J458" i="7"/>
  <c r="I458" i="7"/>
  <c r="H458" i="7"/>
  <c r="G458" i="7"/>
  <c r="F458" i="7"/>
  <c r="E458" i="7"/>
  <c r="E460" i="7" s="1"/>
  <c r="D458" i="7"/>
  <c r="O458" i="7" s="1"/>
  <c r="P458" i="7" s="1"/>
  <c r="N410" i="7"/>
  <c r="M410" i="7"/>
  <c r="L410" i="7"/>
  <c r="K410" i="7"/>
  <c r="J410" i="7"/>
  <c r="I410" i="7"/>
  <c r="H410" i="7"/>
  <c r="G410" i="7"/>
  <c r="F410" i="7"/>
  <c r="E410" i="7"/>
  <c r="D410" i="7"/>
  <c r="C410" i="7"/>
  <c r="K386" i="7"/>
  <c r="N343" i="7"/>
  <c r="K343" i="7"/>
  <c r="J343" i="7"/>
  <c r="H343" i="7"/>
  <c r="E343" i="7"/>
  <c r="D343" i="7"/>
  <c r="C343" i="7"/>
  <c r="D338" i="7"/>
  <c r="E338" i="7" s="1"/>
  <c r="C338" i="7"/>
  <c r="M314" i="7"/>
  <c r="I314" i="7"/>
  <c r="H314" i="7"/>
  <c r="G314" i="7"/>
  <c r="D314" i="7"/>
  <c r="C314" i="7"/>
  <c r="N266" i="7"/>
  <c r="M266" i="7"/>
  <c r="L266" i="7"/>
  <c r="K266" i="7"/>
  <c r="J266" i="7"/>
  <c r="I266" i="7"/>
  <c r="H266" i="7"/>
  <c r="G266" i="7"/>
  <c r="F266" i="7"/>
  <c r="E266" i="7"/>
  <c r="D266" i="7"/>
  <c r="C266" i="7"/>
  <c r="O496" i="7" l="1"/>
  <c r="P496" i="7" s="1"/>
  <c r="O478" i="7"/>
  <c r="P478" i="7" s="1"/>
  <c r="E498" i="7"/>
  <c r="E502" i="7" s="1"/>
  <c r="O472" i="7"/>
  <c r="P472" i="7" s="1"/>
  <c r="O460" i="7"/>
  <c r="P460" i="7" s="1"/>
  <c r="D498" i="7"/>
  <c r="K302" i="7"/>
  <c r="O302" i="7" s="1"/>
  <c r="P302" i="7" s="1"/>
  <c r="O358" i="7"/>
  <c r="P358" i="7" s="1"/>
  <c r="F338" i="7"/>
  <c r="G338" i="7" s="1"/>
  <c r="O498" i="7" l="1"/>
  <c r="P498" i="7" s="1"/>
  <c r="D502" i="7"/>
  <c r="O502" i="7" s="1"/>
  <c r="P502" i="7" s="1"/>
  <c r="I338" i="7"/>
  <c r="H338" i="7"/>
  <c r="J338" i="7" l="1"/>
  <c r="K338" i="7"/>
  <c r="L338" i="7" l="1"/>
  <c r="N338" i="7" l="1"/>
  <c r="M338" i="7"/>
  <c r="N196" i="7" l="1"/>
  <c r="M196" i="7"/>
  <c r="L196" i="7"/>
  <c r="K196" i="7"/>
  <c r="J196" i="7"/>
  <c r="I196" i="7"/>
  <c r="H196" i="7"/>
  <c r="G196" i="7"/>
  <c r="F196" i="7"/>
  <c r="E196" i="7"/>
  <c r="D196" i="7"/>
  <c r="C196" i="7"/>
  <c r="N125" i="7"/>
  <c r="M125" i="7"/>
  <c r="L125" i="7"/>
  <c r="K125" i="7"/>
  <c r="J125" i="7"/>
  <c r="I125" i="7"/>
  <c r="H125" i="7"/>
  <c r="G125" i="7"/>
  <c r="F125" i="7"/>
  <c r="E125" i="7"/>
  <c r="D125" i="7"/>
  <c r="C125" i="7"/>
  <c r="G57" i="7"/>
  <c r="N52" i="7"/>
  <c r="M52" i="7"/>
  <c r="O466" i="7"/>
  <c r="P466" i="7" s="1"/>
  <c r="I444" i="7"/>
  <c r="H444" i="7"/>
  <c r="E444" i="7"/>
  <c r="C14" i="7" l="1"/>
  <c r="K444" i="7"/>
  <c r="H443" i="7"/>
  <c r="G443" i="7"/>
  <c r="M443" i="7"/>
  <c r="C443" i="7"/>
  <c r="I443" i="7"/>
  <c r="N443" i="7"/>
  <c r="J443" i="7"/>
  <c r="D443" i="7"/>
  <c r="F444" i="7"/>
  <c r="D444" i="7"/>
  <c r="J444" i="7"/>
  <c r="M444" i="7"/>
  <c r="C444" i="7"/>
  <c r="N444" i="7"/>
  <c r="G444" i="7"/>
  <c r="P444" i="7" l="1"/>
  <c r="O444" i="7"/>
  <c r="C13" i="7"/>
  <c r="K443" i="7"/>
  <c r="F443" i="7"/>
  <c r="E443" i="7"/>
  <c r="O443" i="7" s="1"/>
  <c r="P443" i="7" l="1"/>
  <c r="L444" i="7"/>
  <c r="L443" i="7"/>
  <c r="E16" i="10"/>
  <c r="C30" i="10"/>
  <c r="X18" i="9"/>
  <c r="U52" i="9"/>
  <c r="V52" i="9" s="1"/>
  <c r="R23" i="9"/>
  <c r="P26" i="9"/>
  <c r="P25" i="9"/>
  <c r="O26" i="9"/>
  <c r="O25" i="9"/>
  <c r="O23" i="9"/>
  <c r="L23" i="9"/>
  <c r="N183" i="7"/>
  <c r="M183" i="7"/>
  <c r="L183" i="7"/>
  <c r="G183" i="7"/>
  <c r="F183" i="7"/>
  <c r="D183" i="7"/>
  <c r="C183" i="7"/>
  <c r="I23" i="9"/>
  <c r="N112" i="7"/>
  <c r="M112" i="7"/>
  <c r="L112" i="7"/>
  <c r="K112" i="7"/>
  <c r="J112" i="7"/>
  <c r="I112" i="7"/>
  <c r="N275" i="7" l="1"/>
  <c r="N269" i="7"/>
  <c r="M269" i="7"/>
  <c r="L269" i="7"/>
  <c r="G27" i="9"/>
  <c r="G26" i="9"/>
  <c r="G25" i="9"/>
  <c r="G24" i="9"/>
  <c r="G21" i="9"/>
  <c r="M61" i="9" l="1"/>
  <c r="J55" i="9"/>
  <c r="I55" i="9"/>
  <c r="J65" i="9"/>
  <c r="I65" i="9"/>
  <c r="M40" i="9"/>
  <c r="L40" i="9"/>
  <c r="M60" i="9"/>
  <c r="L60" i="9"/>
  <c r="P34" i="9"/>
  <c r="O34" i="9"/>
  <c r="R36" i="9"/>
  <c r="S36" i="9"/>
  <c r="S46" i="9"/>
  <c r="R46" i="9"/>
  <c r="J35" i="9"/>
  <c r="I35" i="9"/>
  <c r="J39" i="9"/>
  <c r="I39" i="9"/>
  <c r="J45" i="9"/>
  <c r="I45" i="9"/>
  <c r="J51" i="9"/>
  <c r="I51" i="9"/>
  <c r="J56" i="9"/>
  <c r="I56" i="9"/>
  <c r="J62" i="9"/>
  <c r="I62" i="9"/>
  <c r="M21" i="9"/>
  <c r="L21" i="9"/>
  <c r="M27" i="9"/>
  <c r="L27" i="9"/>
  <c r="M37" i="9"/>
  <c r="L37" i="9"/>
  <c r="M41" i="9"/>
  <c r="L41" i="9"/>
  <c r="M47" i="9"/>
  <c r="L47" i="9"/>
  <c r="M54" i="9"/>
  <c r="L54" i="9"/>
  <c r="M56" i="9"/>
  <c r="L56" i="9"/>
  <c r="M64" i="9"/>
  <c r="L64" i="9"/>
  <c r="P35" i="9"/>
  <c r="O35" i="9"/>
  <c r="P39" i="9"/>
  <c r="O39" i="9"/>
  <c r="P45" i="9"/>
  <c r="O45" i="9"/>
  <c r="P51" i="9"/>
  <c r="O51" i="9"/>
  <c r="P55" i="9"/>
  <c r="O55" i="9"/>
  <c r="P62" i="9"/>
  <c r="O62" i="9"/>
  <c r="R21" i="9"/>
  <c r="S21" i="9"/>
  <c r="R27" i="9"/>
  <c r="S27" i="9"/>
  <c r="R37" i="9"/>
  <c r="S37" i="9"/>
  <c r="R41" i="9"/>
  <c r="S41" i="9"/>
  <c r="S47" i="9"/>
  <c r="R47" i="9"/>
  <c r="R54" i="9"/>
  <c r="S54" i="9"/>
  <c r="R61" i="9"/>
  <c r="S61" i="9"/>
  <c r="R65" i="9"/>
  <c r="S65" i="9"/>
  <c r="J38" i="9"/>
  <c r="I38" i="9"/>
  <c r="J44" i="9"/>
  <c r="I44" i="9"/>
  <c r="J50" i="9"/>
  <c r="I50" i="9"/>
  <c r="M36" i="9"/>
  <c r="L36" i="9"/>
  <c r="M46" i="9"/>
  <c r="L46" i="9"/>
  <c r="P44" i="9"/>
  <c r="O44" i="9"/>
  <c r="P54" i="9"/>
  <c r="O54" i="9"/>
  <c r="P61" i="9"/>
  <c r="O61" i="9"/>
  <c r="R64" i="9"/>
  <c r="S64" i="9"/>
  <c r="J36" i="9"/>
  <c r="I36" i="9"/>
  <c r="J40" i="9"/>
  <c r="I40" i="9"/>
  <c r="J46" i="9"/>
  <c r="I46" i="9"/>
  <c r="J59" i="9"/>
  <c r="I59" i="9"/>
  <c r="J63" i="9"/>
  <c r="I63" i="9"/>
  <c r="M24" i="9"/>
  <c r="L24" i="9"/>
  <c r="M34" i="9"/>
  <c r="L34" i="9"/>
  <c r="M38" i="9"/>
  <c r="L38" i="9"/>
  <c r="M44" i="9"/>
  <c r="L44" i="9"/>
  <c r="M50" i="9"/>
  <c r="L50" i="9"/>
  <c r="M65" i="9"/>
  <c r="L65" i="9"/>
  <c r="P24" i="9"/>
  <c r="O24" i="9"/>
  <c r="P36" i="9"/>
  <c r="O36" i="9"/>
  <c r="P40" i="9"/>
  <c r="O40" i="9"/>
  <c r="P46" i="9"/>
  <c r="O46" i="9"/>
  <c r="P56" i="9"/>
  <c r="O56" i="9"/>
  <c r="P59" i="9"/>
  <c r="O59" i="9"/>
  <c r="P63" i="9"/>
  <c r="O63" i="9"/>
  <c r="S24" i="9"/>
  <c r="R24" i="9"/>
  <c r="S34" i="9"/>
  <c r="R34" i="9"/>
  <c r="S38" i="9"/>
  <c r="R38" i="9"/>
  <c r="R44" i="9"/>
  <c r="S44" i="9"/>
  <c r="S50" i="9"/>
  <c r="R50" i="9"/>
  <c r="R55" i="9"/>
  <c r="S55" i="9"/>
  <c r="S62" i="9"/>
  <c r="R62" i="9"/>
  <c r="J34" i="9"/>
  <c r="I34" i="9"/>
  <c r="J61" i="9"/>
  <c r="I61" i="9"/>
  <c r="M26" i="9"/>
  <c r="L26" i="9"/>
  <c r="M63" i="9"/>
  <c r="L63" i="9"/>
  <c r="P38" i="9"/>
  <c r="O38" i="9"/>
  <c r="P50" i="9"/>
  <c r="O50" i="9"/>
  <c r="P65" i="9"/>
  <c r="O65" i="9"/>
  <c r="S26" i="9"/>
  <c r="R26" i="9"/>
  <c r="R40" i="9"/>
  <c r="S40" i="9"/>
  <c r="R60" i="9"/>
  <c r="S60" i="9"/>
  <c r="J37" i="9"/>
  <c r="I37" i="9"/>
  <c r="J41" i="9"/>
  <c r="I41" i="9"/>
  <c r="J47" i="9"/>
  <c r="I47" i="9"/>
  <c r="J54" i="9"/>
  <c r="I54" i="9"/>
  <c r="J60" i="9"/>
  <c r="I60" i="9"/>
  <c r="J64" i="9"/>
  <c r="I64" i="9"/>
  <c r="M25" i="9"/>
  <c r="L25" i="9"/>
  <c r="M35" i="9"/>
  <c r="L35" i="9"/>
  <c r="M39" i="9"/>
  <c r="L39" i="9"/>
  <c r="M45" i="9"/>
  <c r="L45" i="9"/>
  <c r="M51" i="9"/>
  <c r="L51" i="9"/>
  <c r="M59" i="9"/>
  <c r="L59" i="9"/>
  <c r="M62" i="9"/>
  <c r="L62" i="9"/>
  <c r="P27" i="9"/>
  <c r="O27" i="9"/>
  <c r="P37" i="9"/>
  <c r="O37" i="9"/>
  <c r="P41" i="9"/>
  <c r="O41" i="9"/>
  <c r="P47" i="9"/>
  <c r="O47" i="9"/>
  <c r="P60" i="9"/>
  <c r="O60" i="9"/>
  <c r="P64" i="9"/>
  <c r="O64" i="9"/>
  <c r="S25" i="9"/>
  <c r="R25" i="9"/>
  <c r="R35" i="9"/>
  <c r="S35" i="9"/>
  <c r="R39" i="9"/>
  <c r="S39" i="9"/>
  <c r="S45" i="9"/>
  <c r="R45" i="9"/>
  <c r="S51" i="9"/>
  <c r="R51" i="9"/>
  <c r="S56" i="9"/>
  <c r="R56" i="9"/>
  <c r="R59" i="9"/>
  <c r="S59" i="9"/>
  <c r="R63" i="9"/>
  <c r="S63" i="9"/>
  <c r="P21" i="9"/>
  <c r="O21" i="9"/>
  <c r="G28" i="9"/>
  <c r="G30" i="9" s="1"/>
  <c r="J26" i="9"/>
  <c r="I26" i="9"/>
  <c r="J25" i="9"/>
  <c r="I25" i="9"/>
  <c r="J27" i="9"/>
  <c r="I27" i="9"/>
  <c r="J24" i="9"/>
  <c r="I24" i="9"/>
  <c r="F26" i="9"/>
  <c r="G51" i="9"/>
  <c r="F51" i="9"/>
  <c r="M372" i="7"/>
  <c r="G36" i="9"/>
  <c r="F36" i="9"/>
  <c r="G40" i="9"/>
  <c r="F40" i="9"/>
  <c r="G46" i="9"/>
  <c r="F46" i="9"/>
  <c r="G59" i="9"/>
  <c r="F59" i="9"/>
  <c r="G63" i="9"/>
  <c r="F63" i="9"/>
  <c r="F300" i="7"/>
  <c r="J300" i="7"/>
  <c r="F21" i="9"/>
  <c r="F27" i="9"/>
  <c r="G35" i="9"/>
  <c r="F35" i="9"/>
  <c r="G45" i="9"/>
  <c r="F45" i="9"/>
  <c r="G56" i="9"/>
  <c r="F56" i="9"/>
  <c r="J21" i="9"/>
  <c r="I21" i="9"/>
  <c r="G37" i="9"/>
  <c r="F37" i="9"/>
  <c r="G41" i="9"/>
  <c r="F41" i="9"/>
  <c r="G47" i="9"/>
  <c r="F47" i="9"/>
  <c r="G54" i="9"/>
  <c r="F54" i="9"/>
  <c r="G60" i="9"/>
  <c r="F60" i="9"/>
  <c r="G64" i="9"/>
  <c r="F64" i="9"/>
  <c r="D300" i="7"/>
  <c r="H300" i="7"/>
  <c r="L300" i="7"/>
  <c r="F24" i="9"/>
  <c r="G62" i="9"/>
  <c r="F62" i="9"/>
  <c r="G34" i="9"/>
  <c r="F34" i="9"/>
  <c r="G38" i="9"/>
  <c r="F38" i="9"/>
  <c r="G44" i="9"/>
  <c r="F44" i="9"/>
  <c r="G50" i="9"/>
  <c r="F50" i="9"/>
  <c r="G55" i="9"/>
  <c r="F55" i="9"/>
  <c r="G61" i="9"/>
  <c r="F61" i="9"/>
  <c r="G65" i="9"/>
  <c r="F65" i="9"/>
  <c r="F25" i="9"/>
  <c r="G39" i="9"/>
  <c r="F39" i="9"/>
  <c r="E372" i="7"/>
  <c r="D372" i="7"/>
  <c r="I372" i="7"/>
  <c r="H372" i="7"/>
  <c r="F372" i="7"/>
  <c r="E158" i="7"/>
  <c r="I158" i="7"/>
  <c r="M158" i="7"/>
  <c r="N372" i="7"/>
  <c r="E300" i="7"/>
  <c r="M300" i="7"/>
  <c r="F228" i="7"/>
  <c r="G87" i="7"/>
  <c r="K87" i="7"/>
  <c r="D228" i="7"/>
  <c r="H228" i="7"/>
  <c r="G228" i="7"/>
  <c r="K228" i="7"/>
  <c r="N300" i="7"/>
  <c r="E228" i="7"/>
  <c r="L228" i="7"/>
  <c r="N228" i="7"/>
  <c r="M228" i="7"/>
  <c r="K158" i="7"/>
  <c r="F158" i="7"/>
  <c r="J158" i="7"/>
  <c r="N158" i="7"/>
  <c r="H158" i="7"/>
  <c r="L158" i="7"/>
  <c r="H87" i="7"/>
  <c r="F87" i="7"/>
  <c r="J87" i="7"/>
  <c r="N87" i="7"/>
  <c r="E87" i="7"/>
  <c r="I87" i="7"/>
  <c r="M87" i="7"/>
  <c r="L61" i="9" l="1"/>
  <c r="L66" i="9" s="1"/>
  <c r="J57" i="9"/>
  <c r="I57" i="9"/>
  <c r="L28" i="9"/>
  <c r="L30" i="9" s="1"/>
  <c r="O57" i="9"/>
  <c r="S66" i="9"/>
  <c r="O66" i="9"/>
  <c r="I66" i="9"/>
  <c r="R66" i="9"/>
  <c r="M66" i="9"/>
  <c r="S28" i="9"/>
  <c r="S30" i="9" s="1"/>
  <c r="P66" i="9"/>
  <c r="M28" i="9"/>
  <c r="M30" i="9" s="1"/>
  <c r="J66" i="9"/>
  <c r="P57" i="9"/>
  <c r="M55" i="9"/>
  <c r="M57" i="9" s="1"/>
  <c r="L55" i="9"/>
  <c r="G48" i="9"/>
  <c r="J28" i="9"/>
  <c r="J30" i="9" s="1"/>
  <c r="I42" i="9"/>
  <c r="S48" i="9"/>
  <c r="R42" i="9"/>
  <c r="O28" i="9"/>
  <c r="O30" i="9" s="1"/>
  <c r="L48" i="9"/>
  <c r="L42" i="9"/>
  <c r="O48" i="9"/>
  <c r="I48" i="9"/>
  <c r="S57" i="9"/>
  <c r="L57" i="9"/>
  <c r="O42" i="9"/>
  <c r="R28" i="9"/>
  <c r="R30" i="9" s="1"/>
  <c r="J42" i="9"/>
  <c r="R48" i="9"/>
  <c r="S42" i="9"/>
  <c r="P28" i="9"/>
  <c r="P30" i="9" s="1"/>
  <c r="M48" i="9"/>
  <c r="M42" i="9"/>
  <c r="P48" i="9"/>
  <c r="J48" i="9"/>
  <c r="R57" i="9"/>
  <c r="P42" i="9"/>
  <c r="I28" i="9"/>
  <c r="I30" i="9" s="1"/>
  <c r="F48" i="9"/>
  <c r="F28" i="9"/>
  <c r="F30" i="9" s="1"/>
  <c r="F42" i="9"/>
  <c r="D227" i="7"/>
  <c r="E299" i="7"/>
  <c r="F66" i="9"/>
  <c r="F57" i="9"/>
  <c r="G66" i="9"/>
  <c r="C227" i="7"/>
  <c r="G57" i="9"/>
  <c r="E227" i="7"/>
  <c r="G42" i="9"/>
  <c r="H299" i="7"/>
  <c r="J372" i="7"/>
  <c r="J371" i="7"/>
  <c r="L372" i="7"/>
  <c r="L371" i="7"/>
  <c r="H371" i="7"/>
  <c r="I371" i="7"/>
  <c r="E371" i="7"/>
  <c r="D371" i="7"/>
  <c r="I300" i="7"/>
  <c r="I299" i="7"/>
  <c r="G371" i="7"/>
  <c r="G372" i="7"/>
  <c r="G227" i="7"/>
  <c r="M371" i="7"/>
  <c r="F371" i="7"/>
  <c r="K372" i="7"/>
  <c r="K371" i="7"/>
  <c r="M157" i="7"/>
  <c r="K227" i="7"/>
  <c r="N371" i="7"/>
  <c r="G158" i="7"/>
  <c r="G157" i="7"/>
  <c r="J228" i="7"/>
  <c r="J227" i="7"/>
  <c r="K86" i="7"/>
  <c r="I157" i="7"/>
  <c r="G300" i="7"/>
  <c r="G299" i="7"/>
  <c r="E157" i="7"/>
  <c r="F227" i="7"/>
  <c r="I228" i="7"/>
  <c r="D299" i="7"/>
  <c r="N299" i="7"/>
  <c r="M299" i="7"/>
  <c r="F299" i="7"/>
  <c r="K300" i="7"/>
  <c r="K299" i="7"/>
  <c r="L299" i="7"/>
  <c r="J299" i="7"/>
  <c r="L87" i="7"/>
  <c r="L86" i="7"/>
  <c r="D158" i="7"/>
  <c r="D157" i="7"/>
  <c r="I86" i="7"/>
  <c r="H157" i="7"/>
  <c r="H227" i="7"/>
  <c r="L157" i="7"/>
  <c r="N157" i="7"/>
  <c r="N227" i="7"/>
  <c r="L227" i="7"/>
  <c r="E86" i="7"/>
  <c r="G86" i="7"/>
  <c r="J157" i="7"/>
  <c r="M227" i="7"/>
  <c r="D87" i="7"/>
  <c r="D86" i="7"/>
  <c r="M86" i="7"/>
  <c r="H86" i="7"/>
  <c r="F157" i="7"/>
  <c r="K157" i="7"/>
  <c r="F86" i="7"/>
  <c r="N86" i="7"/>
  <c r="J86" i="7"/>
  <c r="C86" i="7" l="1"/>
  <c r="F68" i="9"/>
  <c r="L68" i="9"/>
  <c r="L72" i="9" s="1"/>
  <c r="L16" i="9" s="1"/>
  <c r="C228" i="7"/>
  <c r="O228" i="7" s="1"/>
  <c r="P228" i="7" s="1"/>
  <c r="R68" i="9"/>
  <c r="S68" i="9"/>
  <c r="P68" i="9"/>
  <c r="I68" i="9"/>
  <c r="O68" i="9"/>
  <c r="J68" i="9"/>
  <c r="M68" i="9"/>
  <c r="G68" i="9"/>
  <c r="G72" i="9" s="1"/>
  <c r="G16" i="9" s="1"/>
  <c r="G14" i="9" s="1"/>
  <c r="C371" i="7"/>
  <c r="I227" i="7"/>
  <c r="O227" i="7" s="1"/>
  <c r="C299" i="7"/>
  <c r="P299" i="7" s="1"/>
  <c r="C157" i="7"/>
  <c r="C87" i="7"/>
  <c r="P371" i="7" l="1"/>
  <c r="O371" i="7"/>
  <c r="O299" i="7"/>
  <c r="P227" i="7"/>
  <c r="O157" i="7"/>
  <c r="P157" i="7"/>
  <c r="P87" i="7"/>
  <c r="O87" i="7"/>
  <c r="O86" i="7"/>
  <c r="P86" i="7"/>
  <c r="F72" i="9"/>
  <c r="F16" i="9" s="1"/>
  <c r="H16" i="9" s="1"/>
  <c r="H61" i="9" s="1"/>
  <c r="L13" i="9"/>
  <c r="M72" i="9"/>
  <c r="M16" i="9" s="1"/>
  <c r="M14" i="9" s="1"/>
  <c r="J72" i="9"/>
  <c r="J16" i="9" s="1"/>
  <c r="J14" i="9" s="1"/>
  <c r="S72" i="9"/>
  <c r="S16" i="9" s="1"/>
  <c r="S14" i="9" s="1"/>
  <c r="O72" i="9"/>
  <c r="O16" i="9" s="1"/>
  <c r="P72" i="9"/>
  <c r="P16" i="9" s="1"/>
  <c r="P14" i="9" s="1"/>
  <c r="I72" i="9"/>
  <c r="I16" i="9" s="1"/>
  <c r="R72" i="9"/>
  <c r="R16" i="9" s="1"/>
  <c r="L14" i="9"/>
  <c r="N16" i="9"/>
  <c r="G13" i="9"/>
  <c r="C372" i="7"/>
  <c r="C300" i="7"/>
  <c r="C158" i="7"/>
  <c r="P372" i="7" l="1"/>
  <c r="O372" i="7"/>
  <c r="O300" i="7"/>
  <c r="P300" i="7"/>
  <c r="O158" i="7"/>
  <c r="P158" i="7"/>
  <c r="H65" i="9"/>
  <c r="H34" i="9"/>
  <c r="H37" i="9"/>
  <c r="H45" i="9"/>
  <c r="H51" i="9"/>
  <c r="H21" i="9"/>
  <c r="H54" i="9"/>
  <c r="H46" i="9"/>
  <c r="H64" i="9"/>
  <c r="H59" i="9"/>
  <c r="H24" i="9"/>
  <c r="H40" i="9"/>
  <c r="H39" i="9"/>
  <c r="H38" i="9"/>
  <c r="H26" i="9"/>
  <c r="H35" i="9"/>
  <c r="H41" i="9"/>
  <c r="H27" i="9"/>
  <c r="H36" i="9"/>
  <c r="H63" i="9"/>
  <c r="H44" i="9"/>
  <c r="H50" i="9"/>
  <c r="H55" i="9"/>
  <c r="H60" i="9"/>
  <c r="H47" i="9"/>
  <c r="H56" i="9"/>
  <c r="H62" i="9"/>
  <c r="H25" i="9"/>
  <c r="F14" i="9"/>
  <c r="F13" i="9"/>
  <c r="R13" i="9"/>
  <c r="P13" i="9"/>
  <c r="S13" i="9"/>
  <c r="M13" i="9"/>
  <c r="I13" i="9"/>
  <c r="O13" i="9"/>
  <c r="J13" i="9"/>
  <c r="N38" i="9"/>
  <c r="N24" i="9"/>
  <c r="N64" i="9"/>
  <c r="N25" i="9"/>
  <c r="N47" i="9"/>
  <c r="N26" i="9"/>
  <c r="N63" i="9"/>
  <c r="N62" i="9"/>
  <c r="N40" i="9"/>
  <c r="N59" i="9"/>
  <c r="N56" i="9"/>
  <c r="N21" i="9"/>
  <c r="N41" i="9"/>
  <c r="N51" i="9"/>
  <c r="N60" i="9"/>
  <c r="N54" i="9"/>
  <c r="N36" i="9"/>
  <c r="N55" i="9"/>
  <c r="N44" i="9"/>
  <c r="N34" i="9"/>
  <c r="N45" i="9"/>
  <c r="N37" i="9"/>
  <c r="N46" i="9"/>
  <c r="N35" i="9"/>
  <c r="N65" i="9"/>
  <c r="N27" i="9"/>
  <c r="N50" i="9"/>
  <c r="N39" i="9"/>
  <c r="N61" i="9"/>
  <c r="K16" i="9"/>
  <c r="I14" i="9"/>
  <c r="Q16" i="9"/>
  <c r="O14" i="9"/>
  <c r="T16" i="9"/>
  <c r="R14" i="9"/>
  <c r="C56" i="9"/>
  <c r="H72" i="9" l="1"/>
  <c r="N72" i="9"/>
  <c r="Q61" i="9"/>
  <c r="Q26" i="9"/>
  <c r="Q39" i="9"/>
  <c r="Q44" i="9"/>
  <c r="Q46" i="9"/>
  <c r="Q40" i="9"/>
  <c r="Q51" i="9"/>
  <c r="Q41" i="9"/>
  <c r="Q60" i="9"/>
  <c r="Q35" i="9"/>
  <c r="Q47" i="9"/>
  <c r="Q37" i="9"/>
  <c r="Q54" i="9"/>
  <c r="Q63" i="9"/>
  <c r="Q62" i="9"/>
  <c r="Q24" i="9"/>
  <c r="Q64" i="9"/>
  <c r="Q59" i="9"/>
  <c r="Q50" i="9"/>
  <c r="Q65" i="9"/>
  <c r="Q55" i="9"/>
  <c r="Q38" i="9"/>
  <c r="Q36" i="9"/>
  <c r="Q21" i="9"/>
  <c r="Q34" i="9"/>
  <c r="Q56" i="9"/>
  <c r="Q27" i="9"/>
  <c r="Q45" i="9"/>
  <c r="Q25" i="9"/>
  <c r="T45" i="9"/>
  <c r="T39" i="9"/>
  <c r="T36" i="9"/>
  <c r="T41" i="9"/>
  <c r="T64" i="9"/>
  <c r="T54" i="9"/>
  <c r="T26" i="9"/>
  <c r="T51" i="9"/>
  <c r="T40" i="9"/>
  <c r="T46" i="9"/>
  <c r="T35" i="9"/>
  <c r="T25" i="9"/>
  <c r="T60" i="9"/>
  <c r="T38" i="9"/>
  <c r="T27" i="9"/>
  <c r="T65" i="9"/>
  <c r="T37" i="9"/>
  <c r="T56" i="9"/>
  <c r="T24" i="9"/>
  <c r="T63" i="9"/>
  <c r="T34" i="9"/>
  <c r="T47" i="9"/>
  <c r="T62" i="9"/>
  <c r="T55" i="9"/>
  <c r="T44" i="9"/>
  <c r="T61" i="9"/>
  <c r="T59" i="9"/>
  <c r="T21" i="9"/>
  <c r="T50" i="9"/>
  <c r="K59" i="9"/>
  <c r="K36" i="9"/>
  <c r="K61" i="9"/>
  <c r="K47" i="9"/>
  <c r="K64" i="9"/>
  <c r="K60" i="9"/>
  <c r="K21" i="9"/>
  <c r="K45" i="9"/>
  <c r="K54" i="9"/>
  <c r="K62" i="9"/>
  <c r="K35" i="9"/>
  <c r="K44" i="9"/>
  <c r="K46" i="9"/>
  <c r="K38" i="9"/>
  <c r="K40" i="9"/>
  <c r="K37" i="9"/>
  <c r="K25" i="9"/>
  <c r="K65" i="9"/>
  <c r="K27" i="9"/>
  <c r="K63" i="9"/>
  <c r="K51" i="9"/>
  <c r="K41" i="9"/>
  <c r="K50" i="9"/>
  <c r="K34" i="9"/>
  <c r="K55" i="9"/>
  <c r="K24" i="9"/>
  <c r="K26" i="9"/>
  <c r="K39" i="9"/>
  <c r="K56" i="9"/>
  <c r="U56" i="9"/>
  <c r="D24" i="9"/>
  <c r="C24" i="9"/>
  <c r="D35" i="9"/>
  <c r="C35" i="9"/>
  <c r="D39" i="9"/>
  <c r="C39" i="9"/>
  <c r="D45" i="9"/>
  <c r="C45" i="9"/>
  <c r="D51" i="9"/>
  <c r="C51" i="9"/>
  <c r="D61" i="9"/>
  <c r="C61" i="9"/>
  <c r="D65" i="9"/>
  <c r="C65" i="9"/>
  <c r="D25" i="9"/>
  <c r="C25" i="9"/>
  <c r="D36" i="9"/>
  <c r="C36" i="9"/>
  <c r="C41" i="9"/>
  <c r="C40" i="9"/>
  <c r="D46" i="9"/>
  <c r="C46" i="9"/>
  <c r="D59" i="9"/>
  <c r="C59" i="9"/>
  <c r="D62" i="9"/>
  <c r="C62" i="9"/>
  <c r="D26" i="9"/>
  <c r="C26" i="9"/>
  <c r="D37" i="9"/>
  <c r="C37" i="9"/>
  <c r="D47" i="9"/>
  <c r="C47" i="9"/>
  <c r="D54" i="9"/>
  <c r="C54" i="9"/>
  <c r="D60" i="9"/>
  <c r="C60" i="9"/>
  <c r="D63" i="9"/>
  <c r="C63" i="9"/>
  <c r="D21" i="9"/>
  <c r="C21" i="9"/>
  <c r="D27" i="9"/>
  <c r="C27" i="9"/>
  <c r="D34" i="9"/>
  <c r="C34" i="9"/>
  <c r="D38" i="9"/>
  <c r="C38" i="9"/>
  <c r="D44" i="9"/>
  <c r="C44" i="9"/>
  <c r="D50" i="9"/>
  <c r="C50" i="9"/>
  <c r="D56" i="9"/>
  <c r="D64" i="9"/>
  <c r="C64" i="9"/>
  <c r="H14" i="7"/>
  <c r="G14" i="7"/>
  <c r="E14" i="7"/>
  <c r="I14" i="7"/>
  <c r="F14" i="7"/>
  <c r="J14" i="7"/>
  <c r="L14" i="7"/>
  <c r="N14" i="7"/>
  <c r="M14" i="7"/>
  <c r="D14" i="7" l="1"/>
  <c r="Q72" i="9"/>
  <c r="V56" i="9"/>
  <c r="K72" i="9"/>
  <c r="T72" i="9"/>
  <c r="U44" i="9"/>
  <c r="U60" i="9"/>
  <c r="U65" i="9"/>
  <c r="U51" i="9"/>
  <c r="U26" i="9"/>
  <c r="U59" i="9"/>
  <c r="U40" i="9"/>
  <c r="U21" i="9"/>
  <c r="U47" i="9"/>
  <c r="U24" i="9"/>
  <c r="U50" i="9"/>
  <c r="U38" i="9"/>
  <c r="U27" i="9"/>
  <c r="U63" i="9"/>
  <c r="U54" i="9"/>
  <c r="U41" i="9"/>
  <c r="U25" i="9"/>
  <c r="U61" i="9"/>
  <c r="U45" i="9"/>
  <c r="U35" i="9"/>
  <c r="U34" i="9"/>
  <c r="U36" i="9"/>
  <c r="U39" i="9"/>
  <c r="U64" i="9"/>
  <c r="U37" i="9"/>
  <c r="U62" i="9"/>
  <c r="U46" i="9"/>
  <c r="D48" i="9"/>
  <c r="D55" i="9"/>
  <c r="D57" i="9" s="1"/>
  <c r="C55" i="9"/>
  <c r="C57" i="9" s="1"/>
  <c r="U57" i="9" s="1"/>
  <c r="V57" i="9" s="1"/>
  <c r="C48" i="9"/>
  <c r="U48" i="9" s="1"/>
  <c r="V48" i="9" s="1"/>
  <c r="C42" i="9"/>
  <c r="U42" i="9" s="1"/>
  <c r="V42" i="9" s="1"/>
  <c r="D66" i="9"/>
  <c r="D41" i="9"/>
  <c r="D40" i="9"/>
  <c r="C28" i="9"/>
  <c r="C66" i="9"/>
  <c r="U66" i="9" s="1"/>
  <c r="V66" i="9" s="1"/>
  <c r="D28" i="9"/>
  <c r="D30" i="9" s="1"/>
  <c r="G13" i="7"/>
  <c r="K14" i="7"/>
  <c r="E13" i="7"/>
  <c r="I13" i="7"/>
  <c r="H13" i="7"/>
  <c r="M13" i="7"/>
  <c r="D13" i="7"/>
  <c r="J13" i="7"/>
  <c r="N13" i="7"/>
  <c r="L13" i="7"/>
  <c r="F13" i="7"/>
  <c r="O14" i="7" l="1"/>
  <c r="P14" i="7"/>
  <c r="V35" i="9"/>
  <c r="V51" i="9"/>
  <c r="V46" i="9"/>
  <c r="V39" i="9"/>
  <c r="V45" i="9"/>
  <c r="V54" i="9"/>
  <c r="V50" i="9"/>
  <c r="V40" i="9"/>
  <c r="V65" i="9"/>
  <c r="V38" i="9"/>
  <c r="V62" i="9"/>
  <c r="V36" i="9"/>
  <c r="V61" i="9"/>
  <c r="V63" i="9"/>
  <c r="V24" i="9"/>
  <c r="V59" i="9"/>
  <c r="V60" i="9"/>
  <c r="V64" i="9"/>
  <c r="V41" i="9"/>
  <c r="V21" i="9"/>
  <c r="V37" i="9"/>
  <c r="V34" i="9"/>
  <c r="V25" i="9"/>
  <c r="V27" i="9"/>
  <c r="V47" i="9"/>
  <c r="V26" i="9"/>
  <c r="V44" i="9"/>
  <c r="C30" i="9"/>
  <c r="U30" i="9" s="1"/>
  <c r="U28" i="9"/>
  <c r="V28" i="9" s="1"/>
  <c r="U55" i="9"/>
  <c r="D42" i="9"/>
  <c r="D68" i="9" s="1"/>
  <c r="C68" i="9"/>
  <c r="U68" i="9" s="1"/>
  <c r="K13" i="7"/>
  <c r="O13" i="7" s="1"/>
  <c r="P13" i="7" l="1"/>
  <c r="V55" i="9"/>
  <c r="V68" i="9"/>
  <c r="V30" i="9"/>
  <c r="D72" i="9"/>
  <c r="D16" i="9" s="1"/>
  <c r="D14" i="9" s="1"/>
  <c r="C72" i="9"/>
  <c r="U72" i="9" s="1"/>
  <c r="V72" i="9" s="1"/>
  <c r="H24" i="2"/>
  <c r="H23" i="2"/>
  <c r="H22" i="2"/>
  <c r="H21" i="2"/>
  <c r="H20" i="2"/>
  <c r="H19" i="2"/>
  <c r="H18" i="2"/>
  <c r="H17" i="2"/>
  <c r="H16" i="2"/>
  <c r="H15" i="2"/>
  <c r="H14" i="2"/>
  <c r="H13" i="2"/>
  <c r="H12" i="2"/>
  <c r="H11" i="2"/>
  <c r="H10" i="2"/>
  <c r="H9" i="2"/>
  <c r="H8" i="2"/>
  <c r="H7" i="2"/>
  <c r="H6" i="2"/>
  <c r="V13" i="9" l="1"/>
  <c r="U13" i="9"/>
  <c r="D13" i="9"/>
  <c r="C16" i="9"/>
  <c r="C13" i="9"/>
  <c r="U16" i="9" l="1"/>
  <c r="W16" i="9" s="1"/>
  <c r="E16" i="9"/>
  <c r="C14" i="9"/>
  <c r="C16" i="10" l="1"/>
  <c r="W56" i="9"/>
  <c r="C56" i="10" s="1"/>
  <c r="D56" i="10" s="1"/>
  <c r="E56" i="10" s="1"/>
  <c r="W38" i="9"/>
  <c r="C38" i="10" s="1"/>
  <c r="D38" i="10" s="1"/>
  <c r="E38" i="10" s="1"/>
  <c r="W21" i="9"/>
  <c r="W35" i="9"/>
  <c r="C35" i="10" s="1"/>
  <c r="D35" i="10" s="1"/>
  <c r="E35" i="10" s="1"/>
  <c r="W46" i="9"/>
  <c r="C46" i="10" s="1"/>
  <c r="D46" i="10" s="1"/>
  <c r="E46" i="10" s="1"/>
  <c r="W45" i="9"/>
  <c r="C45" i="10" s="1"/>
  <c r="D45" i="10" s="1"/>
  <c r="E45" i="10" s="1"/>
  <c r="W50" i="9"/>
  <c r="C50" i="10" s="1"/>
  <c r="D50" i="10" s="1"/>
  <c r="W65" i="9"/>
  <c r="C65" i="10" s="1"/>
  <c r="D65" i="10" s="1"/>
  <c r="E65" i="10" s="1"/>
  <c r="W62" i="9"/>
  <c r="C62" i="10" s="1"/>
  <c r="D62" i="10" s="1"/>
  <c r="E62" i="10" s="1"/>
  <c r="W61" i="9"/>
  <c r="C61" i="10" s="1"/>
  <c r="D61" i="10" s="1"/>
  <c r="E61" i="10" s="1"/>
  <c r="W24" i="9"/>
  <c r="C24" i="10" s="1"/>
  <c r="D24" i="10" s="1"/>
  <c r="W60" i="9"/>
  <c r="C60" i="10" s="1"/>
  <c r="D60" i="10" s="1"/>
  <c r="E60" i="10" s="1"/>
  <c r="W41" i="9"/>
  <c r="C41" i="10" s="1"/>
  <c r="D41" i="10" s="1"/>
  <c r="E41" i="10" s="1"/>
  <c r="W37" i="9"/>
  <c r="C37" i="10" s="1"/>
  <c r="D37" i="10" s="1"/>
  <c r="E37" i="10" s="1"/>
  <c r="W25" i="9"/>
  <c r="C25" i="10" s="1"/>
  <c r="D25" i="10" s="1"/>
  <c r="E25" i="10" s="1"/>
  <c r="W47" i="9"/>
  <c r="C47" i="10" s="1"/>
  <c r="D47" i="10" s="1"/>
  <c r="E47" i="10" s="1"/>
  <c r="W44" i="9"/>
  <c r="C44" i="10" s="1"/>
  <c r="D44" i="10" s="1"/>
  <c r="W51" i="9"/>
  <c r="C51" i="10" s="1"/>
  <c r="D51" i="10" s="1"/>
  <c r="E51" i="10" s="1"/>
  <c r="W39" i="9"/>
  <c r="C39" i="10" s="1"/>
  <c r="D39" i="10" s="1"/>
  <c r="E39" i="10" s="1"/>
  <c r="W54" i="9"/>
  <c r="C54" i="10" s="1"/>
  <c r="D54" i="10" s="1"/>
  <c r="W36" i="9"/>
  <c r="C36" i="10" s="1"/>
  <c r="D36" i="10" s="1"/>
  <c r="E36" i="10" s="1"/>
  <c r="W63" i="9"/>
  <c r="C63" i="10" s="1"/>
  <c r="D63" i="10" s="1"/>
  <c r="E63" i="10" s="1"/>
  <c r="W59" i="9"/>
  <c r="C59" i="10" s="1"/>
  <c r="D59" i="10" s="1"/>
  <c r="W64" i="9"/>
  <c r="C64" i="10" s="1"/>
  <c r="D64" i="10" s="1"/>
  <c r="E64" i="10" s="1"/>
  <c r="W27" i="9"/>
  <c r="C27" i="10" s="1"/>
  <c r="D27" i="10" s="1"/>
  <c r="E27" i="10" s="1"/>
  <c r="W26" i="9"/>
  <c r="C26" i="10" s="1"/>
  <c r="D26" i="10" s="1"/>
  <c r="E26" i="10" s="1"/>
  <c r="W40" i="9"/>
  <c r="C40" i="10" s="1"/>
  <c r="D40" i="10" s="1"/>
  <c r="E40" i="10" s="1"/>
  <c r="W34" i="9"/>
  <c r="C34" i="10" s="1"/>
  <c r="D34" i="10" s="1"/>
  <c r="W55" i="9"/>
  <c r="C55" i="10" s="1"/>
  <c r="D55" i="10" s="1"/>
  <c r="E55" i="10" s="1"/>
  <c r="E56" i="9"/>
  <c r="E65" i="9"/>
  <c r="E26" i="9"/>
  <c r="E40" i="9"/>
  <c r="E47" i="9"/>
  <c r="E54" i="9"/>
  <c r="E25" i="9"/>
  <c r="E45" i="9"/>
  <c r="E34" i="9"/>
  <c r="E39" i="9"/>
  <c r="E46" i="9"/>
  <c r="E62" i="9"/>
  <c r="E44" i="9"/>
  <c r="E50" i="9"/>
  <c r="E27" i="9"/>
  <c r="E37" i="9"/>
  <c r="E51" i="9"/>
  <c r="E21" i="9"/>
  <c r="E24" i="9"/>
  <c r="E60" i="9"/>
  <c r="E59" i="9"/>
  <c r="E38" i="9"/>
  <c r="E63" i="9"/>
  <c r="E61" i="9"/>
  <c r="E35" i="9"/>
  <c r="E36" i="9"/>
  <c r="E64" i="9"/>
  <c r="E41" i="9"/>
  <c r="E55" i="9"/>
  <c r="X16" i="9"/>
  <c r="V16" i="9"/>
  <c r="V14" i="9" s="1"/>
  <c r="U14" i="9"/>
  <c r="E59" i="10" l="1"/>
  <c r="D66" i="10"/>
  <c r="E24" i="10"/>
  <c r="E28" i="10" s="1"/>
  <c r="D28" i="10"/>
  <c r="D52" i="10"/>
  <c r="E50" i="10"/>
  <c r="W72" i="9"/>
  <c r="C72" i="10" s="1"/>
  <c r="C21" i="10"/>
  <c r="D21" i="10" s="1"/>
  <c r="E44" i="11"/>
  <c r="G63" i="10"/>
  <c r="H63" i="10" s="1"/>
  <c r="E32" i="11"/>
  <c r="G51" i="10"/>
  <c r="H51" i="10" s="1"/>
  <c r="E18" i="11"/>
  <c r="G37" i="10"/>
  <c r="H37" i="10" s="1"/>
  <c r="E42" i="11"/>
  <c r="G61" i="10"/>
  <c r="H61" i="10" s="1"/>
  <c r="E26" i="11"/>
  <c r="G45" i="10"/>
  <c r="H45" i="10" s="1"/>
  <c r="G38" i="10"/>
  <c r="H38" i="10" s="1"/>
  <c r="E19" i="11"/>
  <c r="E20" i="11"/>
  <c r="G39" i="10"/>
  <c r="H39" i="10" s="1"/>
  <c r="E36" i="11"/>
  <c r="G55" i="10"/>
  <c r="H55" i="10" s="1"/>
  <c r="E17" i="11"/>
  <c r="G36" i="10"/>
  <c r="H36" i="10" s="1"/>
  <c r="E44" i="10"/>
  <c r="D48" i="10"/>
  <c r="E22" i="11"/>
  <c r="G41" i="10"/>
  <c r="H41" i="10" s="1"/>
  <c r="G62" i="10"/>
  <c r="H62" i="10" s="1"/>
  <c r="E43" i="11"/>
  <c r="E27" i="11"/>
  <c r="G46" i="10"/>
  <c r="H46" i="10" s="1"/>
  <c r="G56" i="10"/>
  <c r="H56" i="10" s="1"/>
  <c r="E37" i="11"/>
  <c r="E21" i="11"/>
  <c r="G40" i="10"/>
  <c r="H40" i="10" s="1"/>
  <c r="E34" i="10"/>
  <c r="D42" i="10"/>
  <c r="E45" i="11"/>
  <c r="G64" i="10"/>
  <c r="H64" i="10" s="1"/>
  <c r="E54" i="10"/>
  <c r="D57" i="10"/>
  <c r="E28" i="11"/>
  <c r="G47" i="10"/>
  <c r="H47" i="10" s="1"/>
  <c r="E41" i="11"/>
  <c r="G60" i="10"/>
  <c r="H60" i="10" s="1"/>
  <c r="E46" i="11"/>
  <c r="G65" i="10"/>
  <c r="H65" i="10" s="1"/>
  <c r="E16" i="11"/>
  <c r="G35" i="10"/>
  <c r="H35" i="10" s="1"/>
  <c r="E72" i="9"/>
  <c r="E35" i="11" l="1"/>
  <c r="E38" i="11" s="1"/>
  <c r="G54" i="10"/>
  <c r="H54" i="10" s="1"/>
  <c r="E57" i="10"/>
  <c r="G34" i="10"/>
  <c r="E15" i="11"/>
  <c r="E23" i="11" s="1"/>
  <c r="E42" i="10"/>
  <c r="E25" i="11"/>
  <c r="E29" i="11" s="1"/>
  <c r="G44" i="10"/>
  <c r="H44" i="10" s="1"/>
  <c r="E48" i="10"/>
  <c r="E31" i="11"/>
  <c r="E33" i="11" s="1"/>
  <c r="G50" i="10"/>
  <c r="H50" i="10" s="1"/>
  <c r="E52" i="10"/>
  <c r="D68" i="10"/>
  <c r="E21" i="10"/>
  <c r="E30" i="10" s="1"/>
  <c r="D30" i="10"/>
  <c r="D14" i="10" s="1"/>
  <c r="E66" i="10"/>
  <c r="E40" i="11"/>
  <c r="E47" i="11" s="1"/>
  <c r="G59" i="10"/>
  <c r="H59" i="10" s="1"/>
  <c r="E68" i="10" l="1"/>
  <c r="E72" i="10" s="1"/>
  <c r="H34" i="10"/>
  <c r="H72" i="10" s="1"/>
  <c r="G72" i="10"/>
  <c r="D72" i="10"/>
  <c r="D13" i="10" s="1"/>
  <c r="E49" i="11"/>
  <c r="G49" i="11" s="1"/>
</calcChain>
</file>

<file path=xl/sharedStrings.xml><?xml version="1.0" encoding="utf-8"?>
<sst xmlns="http://schemas.openxmlformats.org/spreadsheetml/2006/main" count="674" uniqueCount="117">
  <si>
    <t>KING SHAKA INTERNATIONAL AIRPORT</t>
  </si>
  <si>
    <t>APRIL 2016 - MARCH 2017</t>
  </si>
  <si>
    <t>Total</t>
  </si>
  <si>
    <t>Average</t>
  </si>
  <si>
    <t>% WASTE RECYCLED / RE-USED</t>
  </si>
  <si>
    <t>% WASTE LANDFILLED</t>
  </si>
  <si>
    <t>TOTAL WASTE GENERATED</t>
  </si>
  <si>
    <t>WASTE TO LANDFILL (KG)</t>
  </si>
  <si>
    <t>NON HAZARDOUS</t>
  </si>
  <si>
    <t>GENERAL WASTE</t>
  </si>
  <si>
    <t>HAZARDOUS WASTE</t>
  </si>
  <si>
    <t>GALLEY WASTE</t>
  </si>
  <si>
    <t>EMPTY MOTOR OIL CANS</t>
  </si>
  <si>
    <t>OTHER</t>
  </si>
  <si>
    <t>AD-HOC (NOT INCL)</t>
  </si>
  <si>
    <t>TOTAL HAZARDOUS WASTE</t>
  </si>
  <si>
    <t>TOTAL WASTE TO LANDFILL</t>
  </si>
  <si>
    <t>WASTE RECYCLED (KG)</t>
  </si>
  <si>
    <t>PLASTIC</t>
  </si>
  <si>
    <t>PET</t>
  </si>
  <si>
    <t>PET MIXED</t>
  </si>
  <si>
    <t>PP</t>
  </si>
  <si>
    <t>LDPE SOFT</t>
  </si>
  <si>
    <t>HD</t>
  </si>
  <si>
    <t>PLASTIC PS</t>
  </si>
  <si>
    <t>PLASTIC MIX</t>
  </si>
  <si>
    <t>BOPP</t>
  </si>
  <si>
    <t>SUB TOTAL</t>
  </si>
  <si>
    <t>PAPER</t>
  </si>
  <si>
    <t>COMMON MIX WASTE</t>
  </si>
  <si>
    <t>NEWSPAPER</t>
  </si>
  <si>
    <t>CARDBOARD</t>
  </si>
  <si>
    <t>WHITE OFFICE PAPER</t>
  </si>
  <si>
    <t>OIL</t>
  </si>
  <si>
    <t>MACHINE OIL</t>
  </si>
  <si>
    <t>FOOD GRADE OIL</t>
  </si>
  <si>
    <t>METAL</t>
  </si>
  <si>
    <t>SCRAP METAL</t>
  </si>
  <si>
    <t>CANS</t>
  </si>
  <si>
    <t>FOIL</t>
  </si>
  <si>
    <t>FLUORESCENT TUBES</t>
  </si>
  <si>
    <t>LAMP COMPONENTS</t>
  </si>
  <si>
    <t>TETRA PAK</t>
  </si>
  <si>
    <t>GLASS</t>
  </si>
  <si>
    <t>RE-USED DRUMS</t>
  </si>
  <si>
    <t>PRINTER CARTRIDGES</t>
  </si>
  <si>
    <t>FOOD WASTE</t>
  </si>
  <si>
    <t>TOTAL WASTE RECYCLED</t>
  </si>
  <si>
    <t>SUMMARY</t>
  </si>
  <si>
    <t>APRIL 2017 - MARCH 2018</t>
  </si>
  <si>
    <t>APRIL 2018 - MARCH 2019</t>
  </si>
  <si>
    <t>APRIL 2019 - MARCH 2020</t>
  </si>
  <si>
    <t>APRIL 2020 - MARCH 2021</t>
  </si>
  <si>
    <t>APRIL 2021 - MARCH 2022</t>
  </si>
  <si>
    <t>OTHER-SOLVENT SLUDGE</t>
  </si>
  <si>
    <t>APRIL 2022 - MARCH 2023</t>
  </si>
  <si>
    <t>Annual</t>
  </si>
  <si>
    <t>Month Avg</t>
  </si>
  <si>
    <t>% Split</t>
  </si>
  <si>
    <t>Total Tons</t>
  </si>
  <si>
    <t>5 year - 60 months</t>
  </si>
  <si>
    <t>Over 60 months</t>
  </si>
  <si>
    <t>Price Evaluation Tool</t>
  </si>
  <si>
    <t>Note1: The form of offer tendered should not factor in returns, if the returns are not realised then based on low volumes of waste being generated we run the risk of depleting the BPA</t>
  </si>
  <si>
    <t>Allocated Tonnage</t>
  </si>
  <si>
    <t>Monthly Allocation</t>
  </si>
  <si>
    <t>Bidders Rate</t>
  </si>
  <si>
    <t>Estimated Monthly Return</t>
  </si>
  <si>
    <t>Estimated 5 Year Return</t>
  </si>
  <si>
    <t>PROJECTED WASTE RECYCLING QUANTITIES</t>
  </si>
  <si>
    <t>PER MONTH (AVERAGE)</t>
  </si>
  <si>
    <t>UNIT</t>
  </si>
  <si>
    <t>QUANTITY</t>
  </si>
  <si>
    <t>ton</t>
  </si>
  <si>
    <t>litres</t>
  </si>
  <si>
    <t xml:space="preserve">ton </t>
  </si>
  <si>
    <t>Date</t>
  </si>
  <si>
    <t>Type of waste</t>
  </si>
  <si>
    <t>No</t>
  </si>
  <si>
    <t>Name</t>
  </si>
  <si>
    <t>01/11/2015</t>
  </si>
  <si>
    <t>Bonisiwe Nxele</t>
  </si>
  <si>
    <t>Mix Plastic</t>
  </si>
  <si>
    <t>Clear Plastic</t>
  </si>
  <si>
    <t>Brown Paper</t>
  </si>
  <si>
    <t>White Paper</t>
  </si>
  <si>
    <t>Tins</t>
  </si>
  <si>
    <t>Metal Cans</t>
  </si>
  <si>
    <t>Tissues</t>
  </si>
  <si>
    <t>PP Plastic</t>
  </si>
  <si>
    <t>Pvc Trays</t>
  </si>
  <si>
    <t>Foil</t>
  </si>
  <si>
    <t>Common Paper</t>
  </si>
  <si>
    <t>IMW</t>
  </si>
  <si>
    <t>Plastic cups</t>
  </si>
  <si>
    <t>FN News Paper</t>
  </si>
  <si>
    <t>Glass waste</t>
  </si>
  <si>
    <t>Boxes (K4)</t>
  </si>
  <si>
    <t>Glue Plastics</t>
  </si>
  <si>
    <t>08/11/2015</t>
  </si>
  <si>
    <t>Mixed Plastic</t>
  </si>
  <si>
    <t>Metal cans</t>
  </si>
  <si>
    <t>Common paper</t>
  </si>
  <si>
    <t>FN News Papers</t>
  </si>
  <si>
    <t>12/11/2015</t>
  </si>
  <si>
    <t>Clear plastic</t>
  </si>
  <si>
    <t>Brown paper</t>
  </si>
  <si>
    <t>White paper</t>
  </si>
  <si>
    <t>PP plastic</t>
  </si>
  <si>
    <t>Pvc trays</t>
  </si>
  <si>
    <t>Boxes(K4)</t>
  </si>
  <si>
    <t>Glass</t>
  </si>
  <si>
    <t>Mixed plastic</t>
  </si>
  <si>
    <t>15/11/2015</t>
  </si>
  <si>
    <t>Clear plastics</t>
  </si>
  <si>
    <t>PP plastics</t>
  </si>
  <si>
    <t>Plastics cups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</si>
</sst>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164" formatCode="[$-1C09]mmm\-yy"/>
    <numFmt numFmtId="165" formatCode="&quot;R&quot;#,##0.00"/>
    <numFmt numFmtId="166" formatCode="0.000%"/>
  </numFmts>
  <fonts count="28">
    <font>
      <sz val="11"/>
      <color rgb="FF000000"/>
      <name val="Arial"/>
      <family val="2"/>
      <charset val="1"/>
    </font>
    <font>
      <sz val="10"/>
      <name val="Arial"/>
      <family val="2"/>
      <charset val="1"/>
    </font>
    <font>
      <sz val="11"/>
      <color rgb="FF000000"/>
      <name val="Arial1"/>
      <charset val="1"/>
    </font>
    <font>
      <sz val="11"/>
      <color rgb="FF000000"/>
      <name val="Calibri"/>
      <family val="2"/>
      <charset val="1"/>
    </font>
    <font>
      <sz val="6"/>
      <color rgb="FF000000"/>
      <name val="Arial"/>
      <family val="2"/>
    </font>
    <font>
      <b/>
      <sz val="6"/>
      <color rgb="FF000000"/>
      <name val="Arial"/>
      <family val="2"/>
    </font>
    <font>
      <b/>
      <u/>
      <sz val="6"/>
      <color rgb="FF000000"/>
      <name val="Arial"/>
      <family val="2"/>
    </font>
    <font>
      <sz val="6"/>
      <name val="Arial"/>
      <family val="2"/>
    </font>
    <font>
      <b/>
      <u/>
      <sz val="6"/>
      <color rgb="FFFF0000"/>
      <name val="Arial"/>
      <family val="2"/>
    </font>
    <font>
      <b/>
      <sz val="6"/>
      <color rgb="FFFF3333"/>
      <name val="Arial"/>
      <family val="2"/>
    </font>
    <font>
      <sz val="6"/>
      <color rgb="FFFF3333"/>
      <name val="Arial"/>
      <family val="2"/>
    </font>
    <font>
      <b/>
      <sz val="6"/>
      <color rgb="FFFF0000"/>
      <name val="Arial"/>
      <family val="2"/>
    </font>
    <font>
      <b/>
      <sz val="6"/>
      <color rgb="FF00B050"/>
      <name val="Arial"/>
      <family val="2"/>
    </font>
    <font>
      <b/>
      <sz val="6"/>
      <name val="Arial"/>
      <family val="2"/>
    </font>
    <font>
      <b/>
      <sz val="6"/>
      <color rgb="FF9BBB59"/>
      <name val="Arial"/>
      <family val="2"/>
    </font>
    <font>
      <b/>
      <sz val="6"/>
      <color rgb="FF009900"/>
      <name val="Arial"/>
      <family val="2"/>
    </font>
    <font>
      <b/>
      <u/>
      <sz val="8"/>
      <color rgb="FF000000"/>
      <name val="Arial"/>
      <family val="2"/>
    </font>
    <font>
      <b/>
      <sz val="8"/>
      <color rgb="FF000000"/>
      <name val="Arial"/>
      <family val="2"/>
    </font>
    <font>
      <sz val="8"/>
      <color rgb="FF000000"/>
      <name val="Arial"/>
      <family val="2"/>
    </font>
    <font>
      <b/>
      <u/>
      <sz val="8"/>
      <color rgb="FFFF0000"/>
      <name val="Arial"/>
      <family val="2"/>
    </font>
    <font>
      <b/>
      <sz val="8"/>
      <color rgb="FFFF0000"/>
      <name val="Arial"/>
      <family val="2"/>
    </font>
    <font>
      <b/>
      <sz val="8"/>
      <color rgb="FF00B050"/>
      <name val="Arial"/>
      <family val="2"/>
    </font>
    <font>
      <sz val="8"/>
      <name val="Arial"/>
      <family val="2"/>
    </font>
    <font>
      <b/>
      <sz val="8"/>
      <color rgb="FFFF3333"/>
      <name val="Arial"/>
      <family val="2"/>
    </font>
    <font>
      <sz val="8"/>
      <color rgb="FFFF3333"/>
      <name val="Arial"/>
      <family val="2"/>
    </font>
    <font>
      <b/>
      <sz val="8"/>
      <name val="Arial"/>
      <family val="2"/>
    </font>
    <font>
      <b/>
      <sz val="8"/>
      <color rgb="FF9BBB59"/>
      <name val="Arial"/>
      <family val="2"/>
    </font>
    <font>
      <b/>
      <sz val="8"/>
      <color rgb="FF009900"/>
      <name val="Arial"/>
      <family val="2"/>
    </font>
  </fonts>
  <fills count="14">
    <fill>
      <patternFill patternType="none"/>
    </fill>
    <fill>
      <patternFill patternType="gray125"/>
    </fill>
    <fill>
      <patternFill patternType="solid">
        <fgColor rgb="FFEEEEEE"/>
        <bgColor rgb="FFF2F2F2"/>
      </patternFill>
    </fill>
    <fill>
      <patternFill patternType="solid">
        <fgColor rgb="FFF2F2F2"/>
        <bgColor rgb="FFEEEEEE"/>
      </patternFill>
    </fill>
    <fill>
      <patternFill patternType="solid">
        <fgColor rgb="FFD9D9D9"/>
        <bgColor rgb="FFEEEEEE"/>
      </patternFill>
    </fill>
    <fill>
      <patternFill patternType="solid">
        <fgColor theme="0" tint="-4.9989318521683403E-2"/>
        <bgColor indexed="64"/>
      </patternFill>
    </fill>
    <fill>
      <patternFill patternType="solid">
        <fgColor theme="0" tint="-4.9989318521683403E-2"/>
        <bgColor rgb="FFF2F2F2"/>
      </patternFill>
    </fill>
    <fill>
      <patternFill patternType="solid">
        <fgColor theme="0"/>
        <bgColor indexed="64"/>
      </patternFill>
    </fill>
    <fill>
      <patternFill patternType="solid">
        <fgColor theme="0" tint="-4.9989318521683403E-2"/>
        <bgColor rgb="FFEEEEEE"/>
      </patternFill>
    </fill>
    <fill>
      <patternFill patternType="solid">
        <fgColor theme="7" tint="0.79998168889431442"/>
        <bgColor rgb="FFEEEEEE"/>
      </patternFill>
    </fill>
    <fill>
      <patternFill patternType="solid">
        <fgColor theme="7" tint="0.79998168889431442"/>
        <bgColor indexed="64"/>
      </patternFill>
    </fill>
    <fill>
      <patternFill patternType="solid">
        <fgColor rgb="FFB4E4CE"/>
        <bgColor rgb="FFF2F2F2"/>
      </patternFill>
    </fill>
    <fill>
      <patternFill patternType="solid">
        <fgColor rgb="FFB4E4CE"/>
        <bgColor indexed="64"/>
      </patternFill>
    </fill>
    <fill>
      <patternFill patternType="solid">
        <fgColor rgb="FFB4E4CE"/>
        <bgColor rgb="FFEEEEEE"/>
      </patternFill>
    </fill>
  </fills>
  <borders count="32">
    <border>
      <left/>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thin">
        <color auto="1"/>
      </right>
      <top style="medium">
        <color indexed="64"/>
      </top>
      <bottom style="thin">
        <color auto="1"/>
      </bottom>
      <diagonal/>
    </border>
    <border>
      <left style="thin">
        <color auto="1"/>
      </left>
      <right/>
      <top style="medium">
        <color indexed="64"/>
      </top>
      <bottom style="thin">
        <color auto="1"/>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auto="1"/>
      </bottom>
      <diagonal/>
    </border>
    <border>
      <left/>
      <right style="medium">
        <color indexed="64"/>
      </right>
      <top/>
      <bottom style="thin">
        <color auto="1"/>
      </bottom>
      <diagonal/>
    </border>
    <border>
      <left/>
      <right style="medium">
        <color indexed="64"/>
      </right>
      <top/>
      <bottom style="medium">
        <color indexed="64"/>
      </bottom>
      <diagonal/>
    </border>
  </borders>
  <cellStyleXfs count="3">
    <xf numFmtId="0" fontId="0" fillId="0" borderId="0"/>
    <xf numFmtId="9" fontId="1" fillId="0" borderId="0" applyBorder="0" applyProtection="0"/>
    <xf numFmtId="0" fontId="2" fillId="0" borderId="0" applyBorder="0" applyProtection="0"/>
  </cellStyleXfs>
  <cellXfs count="396">
    <xf numFmtId="0" fontId="0" fillId="0" borderId="0" xfId="0"/>
    <xf numFmtId="0" fontId="3" fillId="0" borderId="0" xfId="0" applyFont="1" applyAlignment="1">
      <alignment vertical="center"/>
    </xf>
    <xf numFmtId="0" fontId="3" fillId="0" borderId="0" xfId="0" applyFont="1"/>
    <xf numFmtId="0" fontId="4" fillId="0" borderId="7" xfId="0" applyFont="1" applyBorder="1"/>
    <xf numFmtId="0" fontId="4" fillId="0" borderId="8" xfId="0" applyFont="1" applyBorder="1"/>
    <xf numFmtId="0" fontId="4" fillId="0" borderId="8" xfId="0" applyFont="1" applyBorder="1" applyAlignment="1">
      <alignment horizontal="center"/>
    </xf>
    <xf numFmtId="0" fontId="4" fillId="0" borderId="9" xfId="0" applyFont="1" applyBorder="1" applyAlignment="1">
      <alignment horizontal="center"/>
    </xf>
    <xf numFmtId="0" fontId="4" fillId="0" borderId="0" xfId="0" applyFont="1"/>
    <xf numFmtId="0" fontId="4" fillId="0" borderId="10" xfId="0" applyFont="1" applyBorder="1"/>
    <xf numFmtId="0" fontId="4" fillId="0" borderId="0" xfId="0" applyFont="1" applyAlignment="1">
      <alignment horizontal="center"/>
    </xf>
    <xf numFmtId="0" fontId="4" fillId="0" borderId="11" xfId="0" applyFont="1" applyBorder="1" applyAlignment="1">
      <alignment horizontal="center"/>
    </xf>
    <xf numFmtId="0" fontId="5" fillId="0" borderId="10" xfId="0" applyFont="1" applyBorder="1"/>
    <xf numFmtId="0" fontId="5" fillId="0" borderId="0" xfId="0" applyFont="1"/>
    <xf numFmtId="3" fontId="4" fillId="0" borderId="2" xfId="0" applyNumberFormat="1" applyFont="1" applyBorder="1"/>
    <xf numFmtId="9" fontId="4" fillId="0" borderId="0" xfId="0" applyNumberFormat="1" applyFont="1"/>
    <xf numFmtId="164" fontId="5" fillId="2" borderId="2" xfId="0" applyNumberFormat="1" applyFont="1" applyFill="1" applyBorder="1" applyAlignment="1">
      <alignment horizontal="center"/>
    </xf>
    <xf numFmtId="0" fontId="4" fillId="4" borderId="0" xfId="0" applyFont="1" applyFill="1"/>
    <xf numFmtId="0" fontId="5" fillId="0" borderId="1" xfId="0" applyFont="1" applyBorder="1" applyAlignment="1">
      <alignment horizontal="center" vertical="center"/>
    </xf>
    <xf numFmtId="164" fontId="5" fillId="2" borderId="3" xfId="0" applyNumberFormat="1" applyFont="1" applyFill="1" applyBorder="1" applyAlignment="1">
      <alignment horizontal="center"/>
    </xf>
    <xf numFmtId="0" fontId="5" fillId="0" borderId="0" xfId="0" applyFont="1" applyAlignment="1">
      <alignment horizontal="center"/>
    </xf>
    <xf numFmtId="0" fontId="5" fillId="0" borderId="11" xfId="0" applyFont="1" applyBorder="1" applyAlignment="1">
      <alignment horizontal="center"/>
    </xf>
    <xf numFmtId="9" fontId="7" fillId="3" borderId="2" xfId="1" applyFont="1" applyFill="1" applyBorder="1" applyAlignment="1" applyProtection="1">
      <alignment horizontal="center" vertical="center"/>
    </xf>
    <xf numFmtId="3" fontId="4" fillId="5" borderId="2" xfId="0" applyNumberFormat="1" applyFont="1" applyFill="1" applyBorder="1" applyAlignment="1">
      <alignment horizontal="center" vertical="center"/>
    </xf>
    <xf numFmtId="3" fontId="5" fillId="5" borderId="2" xfId="0" applyNumberFormat="1" applyFont="1" applyFill="1" applyBorder="1" applyAlignment="1">
      <alignment horizontal="center" vertical="center"/>
    </xf>
    <xf numFmtId="3" fontId="5" fillId="2" borderId="2" xfId="0" applyNumberFormat="1" applyFont="1" applyFill="1" applyBorder="1" applyAlignment="1">
      <alignment horizontal="center" vertical="center"/>
    </xf>
    <xf numFmtId="3" fontId="4" fillId="0" borderId="2" xfId="0" applyNumberFormat="1" applyFont="1" applyBorder="1" applyAlignment="1">
      <alignment horizontal="center" vertical="center"/>
    </xf>
    <xf numFmtId="164" fontId="5" fillId="2" borderId="2" xfId="0" applyNumberFormat="1" applyFont="1" applyFill="1" applyBorder="1" applyAlignment="1">
      <alignment horizontal="center" vertical="center"/>
    </xf>
    <xf numFmtId="0" fontId="4" fillId="5" borderId="0" xfId="0" applyFont="1" applyFill="1"/>
    <xf numFmtId="3" fontId="9" fillId="7" borderId="2" xfId="0" applyNumberFormat="1" applyFont="1" applyFill="1" applyBorder="1" applyAlignment="1">
      <alignment horizontal="center" vertical="center"/>
    </xf>
    <xf numFmtId="0" fontId="4" fillId="7" borderId="0" xfId="0" applyFont="1" applyFill="1"/>
    <xf numFmtId="3" fontId="11" fillId="5" borderId="2" xfId="0" applyNumberFormat="1" applyFont="1" applyFill="1" applyBorder="1" applyAlignment="1">
      <alignment horizontal="center" vertical="center"/>
    </xf>
    <xf numFmtId="3" fontId="11" fillId="4" borderId="2" xfId="0" applyNumberFormat="1" applyFont="1" applyFill="1" applyBorder="1" applyAlignment="1">
      <alignment horizontal="center" vertical="center"/>
    </xf>
    <xf numFmtId="3" fontId="13" fillId="3" borderId="2" xfId="2" applyNumberFormat="1" applyFont="1" applyFill="1" applyBorder="1" applyAlignment="1" applyProtection="1">
      <alignment horizontal="center" vertical="center"/>
    </xf>
    <xf numFmtId="3" fontId="13" fillId="0" borderId="2" xfId="2" applyNumberFormat="1" applyFont="1" applyBorder="1" applyAlignment="1" applyProtection="1">
      <alignment horizontal="center" vertical="center"/>
    </xf>
    <xf numFmtId="3" fontId="5" fillId="3" borderId="2" xfId="0" applyNumberFormat="1" applyFont="1" applyFill="1" applyBorder="1" applyAlignment="1">
      <alignment horizontal="center" vertical="center"/>
    </xf>
    <xf numFmtId="3" fontId="5" fillId="0" borderId="2" xfId="0" applyNumberFormat="1" applyFont="1" applyBorder="1" applyAlignment="1">
      <alignment horizontal="center" vertical="center"/>
    </xf>
    <xf numFmtId="3" fontId="12" fillId="4" borderId="2" xfId="0" applyNumberFormat="1" applyFont="1" applyFill="1" applyBorder="1" applyAlignment="1">
      <alignment horizontal="center" vertical="center"/>
    </xf>
    <xf numFmtId="3" fontId="5" fillId="0" borderId="5" xfId="0" applyNumberFormat="1" applyFont="1" applyBorder="1" applyAlignment="1">
      <alignment horizontal="center" vertical="center"/>
    </xf>
    <xf numFmtId="0" fontId="5" fillId="5" borderId="1" xfId="0" applyFont="1" applyFill="1" applyBorder="1" applyAlignment="1">
      <alignment horizontal="center"/>
    </xf>
    <xf numFmtId="0" fontId="5" fillId="0" borderId="1" xfId="0" applyFont="1" applyBorder="1" applyAlignment="1">
      <alignment horizontal="center"/>
    </xf>
    <xf numFmtId="3" fontId="4" fillId="9" borderId="2" xfId="0" applyNumberFormat="1" applyFont="1" applyFill="1" applyBorder="1" applyAlignment="1">
      <alignment horizontal="center" vertical="center"/>
    </xf>
    <xf numFmtId="3" fontId="9" fillId="10" borderId="2" xfId="0" applyNumberFormat="1" applyFont="1" applyFill="1" applyBorder="1" applyAlignment="1">
      <alignment horizontal="center" vertical="center"/>
    </xf>
    <xf numFmtId="3" fontId="9" fillId="9" borderId="2" xfId="0" applyNumberFormat="1" applyFont="1" applyFill="1" applyBorder="1" applyAlignment="1">
      <alignment horizontal="center" vertical="center"/>
    </xf>
    <xf numFmtId="3" fontId="10" fillId="10" borderId="2" xfId="0" applyNumberFormat="1" applyFont="1" applyFill="1" applyBorder="1" applyAlignment="1">
      <alignment horizontal="center" vertical="center"/>
    </xf>
    <xf numFmtId="3" fontId="7" fillId="9" borderId="2" xfId="0" applyNumberFormat="1" applyFont="1" applyFill="1" applyBorder="1" applyAlignment="1">
      <alignment horizontal="center" vertical="center"/>
    </xf>
    <xf numFmtId="3" fontId="7" fillId="9" borderId="2" xfId="2" applyNumberFormat="1" applyFont="1" applyFill="1" applyBorder="1" applyAlignment="1" applyProtection="1">
      <alignment horizontal="center" vertical="center"/>
    </xf>
    <xf numFmtId="0" fontId="5" fillId="5" borderId="12" xfId="0" applyFont="1" applyFill="1" applyBorder="1" applyAlignment="1">
      <alignment horizontal="center"/>
    </xf>
    <xf numFmtId="0" fontId="5" fillId="3" borderId="12" xfId="0" applyFont="1" applyFill="1" applyBorder="1"/>
    <xf numFmtId="0" fontId="5" fillId="0" borderId="12" xfId="0" applyFont="1" applyBorder="1" applyAlignment="1">
      <alignment horizontal="left" indent="15"/>
    </xf>
    <xf numFmtId="0" fontId="5" fillId="0" borderId="12" xfId="0" applyFont="1" applyBorder="1" applyAlignment="1">
      <alignment horizontal="center"/>
    </xf>
    <xf numFmtId="3" fontId="4" fillId="0" borderId="1" xfId="0" applyNumberFormat="1" applyFont="1" applyBorder="1"/>
    <xf numFmtId="9" fontId="7" fillId="3" borderId="1" xfId="1" applyFont="1" applyFill="1" applyBorder="1" applyAlignment="1" applyProtection="1">
      <alignment horizontal="center" vertical="center"/>
    </xf>
    <xf numFmtId="3" fontId="4" fillId="5" borderId="1" xfId="0" applyNumberFormat="1" applyFont="1" applyFill="1" applyBorder="1" applyAlignment="1">
      <alignment horizontal="center" vertical="center"/>
    </xf>
    <xf numFmtId="3" fontId="5" fillId="5" borderId="1" xfId="0" applyNumberFormat="1" applyFont="1" applyFill="1" applyBorder="1" applyAlignment="1">
      <alignment horizontal="center" vertical="center"/>
    </xf>
    <xf numFmtId="3" fontId="4" fillId="0" borderId="1" xfId="0" applyNumberFormat="1" applyFont="1" applyBorder="1" applyAlignment="1">
      <alignment horizontal="center" vertical="center"/>
    </xf>
    <xf numFmtId="164" fontId="5" fillId="2" borderId="1" xfId="0" applyNumberFormat="1" applyFont="1" applyFill="1" applyBorder="1" applyAlignment="1">
      <alignment horizontal="center" vertical="center"/>
    </xf>
    <xf numFmtId="3" fontId="4" fillId="9" borderId="1" xfId="0" applyNumberFormat="1" applyFont="1" applyFill="1" applyBorder="1" applyAlignment="1">
      <alignment horizontal="center" vertical="center"/>
    </xf>
    <xf numFmtId="3" fontId="9" fillId="10" borderId="1" xfId="0" applyNumberFormat="1" applyFont="1" applyFill="1" applyBorder="1" applyAlignment="1">
      <alignment horizontal="center" vertical="center"/>
    </xf>
    <xf numFmtId="3" fontId="9" fillId="7" borderId="1" xfId="0" applyNumberFormat="1" applyFont="1" applyFill="1" applyBorder="1" applyAlignment="1">
      <alignment horizontal="center" vertical="center"/>
    </xf>
    <xf numFmtId="3" fontId="9" fillId="9" borderId="1" xfId="0" applyNumberFormat="1" applyFont="1" applyFill="1" applyBorder="1" applyAlignment="1">
      <alignment horizontal="center" vertical="center"/>
    </xf>
    <xf numFmtId="3" fontId="10" fillId="10" borderId="1" xfId="0" applyNumberFormat="1" applyFont="1" applyFill="1" applyBorder="1" applyAlignment="1">
      <alignment horizontal="center" vertical="center"/>
    </xf>
    <xf numFmtId="3" fontId="11" fillId="5" borderId="1" xfId="0" applyNumberFormat="1" applyFont="1" applyFill="1" applyBorder="1" applyAlignment="1">
      <alignment horizontal="center" vertical="center"/>
    </xf>
    <xf numFmtId="3" fontId="11" fillId="4" borderId="1" xfId="0" applyNumberFormat="1" applyFont="1" applyFill="1" applyBorder="1" applyAlignment="1">
      <alignment horizontal="center" vertical="center"/>
    </xf>
    <xf numFmtId="3" fontId="7" fillId="9" borderId="1" xfId="0" applyNumberFormat="1" applyFont="1" applyFill="1" applyBorder="1" applyAlignment="1">
      <alignment horizontal="center" vertical="center"/>
    </xf>
    <xf numFmtId="3" fontId="7" fillId="9" borderId="1" xfId="2" applyNumberFormat="1" applyFont="1" applyFill="1" applyBorder="1" applyAlignment="1" applyProtection="1">
      <alignment horizontal="center" vertical="center"/>
    </xf>
    <xf numFmtId="3" fontId="13" fillId="3" borderId="1" xfId="2" applyNumberFormat="1" applyFont="1" applyFill="1" applyBorder="1" applyAlignment="1" applyProtection="1">
      <alignment horizontal="center" vertical="center"/>
    </xf>
    <xf numFmtId="3" fontId="13" fillId="0" borderId="1" xfId="2" applyNumberFormat="1" applyFont="1" applyBorder="1" applyAlignment="1" applyProtection="1">
      <alignment horizontal="center" vertical="center"/>
    </xf>
    <xf numFmtId="3" fontId="5" fillId="3" borderId="1" xfId="0" applyNumberFormat="1" applyFont="1" applyFill="1" applyBorder="1" applyAlignment="1">
      <alignment horizontal="center" vertical="center"/>
    </xf>
    <xf numFmtId="3" fontId="5" fillId="0" borderId="1" xfId="0" applyNumberFormat="1" applyFont="1" applyBorder="1" applyAlignment="1">
      <alignment horizontal="center" vertical="center"/>
    </xf>
    <xf numFmtId="3" fontId="12" fillId="4" borderId="1" xfId="0" applyNumberFormat="1" applyFont="1" applyFill="1" applyBorder="1" applyAlignment="1">
      <alignment horizontal="center" vertical="center"/>
    </xf>
    <xf numFmtId="3" fontId="5" fillId="2" borderId="1" xfId="0" applyNumberFormat="1" applyFont="1" applyFill="1" applyBorder="1" applyAlignment="1">
      <alignment horizontal="center" vertical="center"/>
    </xf>
    <xf numFmtId="3" fontId="5" fillId="0" borderId="4" xfId="0" applyNumberFormat="1" applyFont="1" applyBorder="1" applyAlignment="1">
      <alignment horizontal="center" vertical="center"/>
    </xf>
    <xf numFmtId="3" fontId="14" fillId="0" borderId="1" xfId="0" applyNumberFormat="1" applyFont="1" applyBorder="1" applyAlignment="1">
      <alignment horizontal="center" vertical="center"/>
    </xf>
    <xf numFmtId="164" fontId="5" fillId="2" borderId="17" xfId="0" applyNumberFormat="1" applyFont="1" applyFill="1" applyBorder="1" applyAlignment="1">
      <alignment horizontal="center"/>
    </xf>
    <xf numFmtId="164" fontId="5" fillId="2" borderId="18" xfId="0" applyNumberFormat="1" applyFont="1" applyFill="1" applyBorder="1" applyAlignment="1">
      <alignment horizontal="center"/>
    </xf>
    <xf numFmtId="164" fontId="5" fillId="2" borderId="1" xfId="0" applyNumberFormat="1" applyFont="1" applyFill="1" applyBorder="1" applyAlignment="1">
      <alignment horizontal="center"/>
    </xf>
    <xf numFmtId="0" fontId="5" fillId="2" borderId="19" xfId="0" applyFont="1" applyFill="1" applyBorder="1" applyAlignment="1">
      <alignment horizontal="center"/>
    </xf>
    <xf numFmtId="0" fontId="5" fillId="2" borderId="20" xfId="0" applyFont="1" applyFill="1" applyBorder="1" applyAlignment="1">
      <alignment horizontal="center"/>
    </xf>
    <xf numFmtId="3" fontId="4" fillId="2" borderId="20" xfId="0" applyNumberFormat="1" applyFont="1" applyFill="1" applyBorder="1" applyAlignment="1">
      <alignment horizontal="center"/>
    </xf>
    <xf numFmtId="9" fontId="7" fillId="5" borderId="20" xfId="1" applyFont="1" applyFill="1" applyBorder="1" applyAlignment="1">
      <alignment horizontal="center" vertical="center"/>
    </xf>
    <xf numFmtId="3" fontId="4" fillId="2" borderId="20" xfId="0" applyNumberFormat="1" applyFont="1" applyFill="1" applyBorder="1" applyAlignment="1">
      <alignment horizontal="center" vertical="center"/>
    </xf>
    <xf numFmtId="3" fontId="5" fillId="2" borderId="20" xfId="0" applyNumberFormat="1" applyFont="1" applyFill="1" applyBorder="1" applyAlignment="1">
      <alignment horizontal="center" vertical="center"/>
    </xf>
    <xf numFmtId="3" fontId="4" fillId="5" borderId="20" xfId="0" applyNumberFormat="1" applyFont="1" applyFill="1" applyBorder="1" applyAlignment="1">
      <alignment horizontal="center" vertical="center"/>
    </xf>
    <xf numFmtId="3" fontId="4" fillId="3" borderId="20" xfId="0" applyNumberFormat="1" applyFont="1" applyFill="1" applyBorder="1" applyAlignment="1">
      <alignment horizontal="center" vertical="center"/>
    </xf>
    <xf numFmtId="3" fontId="9" fillId="5" borderId="20" xfId="0" applyNumberFormat="1" applyFont="1" applyFill="1" applyBorder="1" applyAlignment="1">
      <alignment horizontal="center" vertical="center"/>
    </xf>
    <xf numFmtId="3" fontId="9" fillId="7" borderId="20" xfId="0" applyNumberFormat="1" applyFont="1" applyFill="1" applyBorder="1" applyAlignment="1">
      <alignment horizontal="center" vertical="center"/>
    </xf>
    <xf numFmtId="3" fontId="9" fillId="6" borderId="20" xfId="0" applyNumberFormat="1" applyFont="1" applyFill="1" applyBorder="1" applyAlignment="1">
      <alignment horizontal="center" vertical="center"/>
    </xf>
    <xf numFmtId="3" fontId="11" fillId="5" borderId="20" xfId="0" applyNumberFormat="1" applyFont="1" applyFill="1" applyBorder="1" applyAlignment="1">
      <alignment horizontal="center" vertical="center"/>
    </xf>
    <xf numFmtId="3" fontId="4" fillId="0" borderId="20" xfId="0" applyNumberFormat="1" applyFont="1" applyBorder="1" applyAlignment="1">
      <alignment horizontal="center" vertical="center"/>
    </xf>
    <xf numFmtId="3" fontId="11" fillId="4" borderId="20" xfId="0" applyNumberFormat="1" applyFont="1" applyFill="1" applyBorder="1" applyAlignment="1">
      <alignment horizontal="center" vertical="center"/>
    </xf>
    <xf numFmtId="164" fontId="5" fillId="2" borderId="20" xfId="0" applyNumberFormat="1" applyFont="1" applyFill="1" applyBorder="1" applyAlignment="1">
      <alignment horizontal="center" vertical="center"/>
    </xf>
    <xf numFmtId="3" fontId="13" fillId="3" borderId="20" xfId="0" applyNumberFormat="1" applyFont="1" applyFill="1" applyBorder="1" applyAlignment="1">
      <alignment horizontal="center" vertical="center"/>
    </xf>
    <xf numFmtId="3" fontId="13" fillId="3" borderId="20" xfId="2" applyNumberFormat="1" applyFont="1" applyFill="1" applyBorder="1" applyAlignment="1" applyProtection="1">
      <alignment horizontal="center" vertical="center"/>
    </xf>
    <xf numFmtId="3" fontId="13" fillId="0" borderId="20" xfId="2" applyNumberFormat="1" applyFont="1" applyBorder="1" applyAlignment="1" applyProtection="1">
      <alignment horizontal="center" vertical="center"/>
    </xf>
    <xf numFmtId="3" fontId="13" fillId="0" borderId="20" xfId="0" applyNumberFormat="1" applyFont="1" applyBorder="1" applyAlignment="1">
      <alignment horizontal="center" vertical="center"/>
    </xf>
    <xf numFmtId="3" fontId="15" fillId="0" borderId="20" xfId="0" applyNumberFormat="1" applyFont="1" applyBorder="1" applyAlignment="1">
      <alignment horizontal="center" vertical="center"/>
    </xf>
    <xf numFmtId="3" fontId="12" fillId="4" borderId="20" xfId="0" applyNumberFormat="1" applyFont="1" applyFill="1" applyBorder="1" applyAlignment="1">
      <alignment horizontal="center" vertical="center"/>
    </xf>
    <xf numFmtId="3" fontId="5" fillId="0" borderId="20" xfId="0" applyNumberFormat="1" applyFont="1" applyBorder="1" applyAlignment="1">
      <alignment horizontal="center" vertical="center"/>
    </xf>
    <xf numFmtId="3" fontId="5" fillId="3" borderId="20" xfId="0" applyNumberFormat="1" applyFont="1" applyFill="1" applyBorder="1" applyAlignment="1">
      <alignment horizontal="center" vertical="center"/>
    </xf>
    <xf numFmtId="3" fontId="5" fillId="0" borderId="21" xfId="0" applyNumberFormat="1" applyFont="1" applyBorder="1" applyAlignment="1">
      <alignment horizontal="center" vertical="center"/>
    </xf>
    <xf numFmtId="3" fontId="5" fillId="5" borderId="20" xfId="0" applyNumberFormat="1" applyFont="1" applyFill="1" applyBorder="1" applyAlignment="1">
      <alignment horizontal="center" vertical="center"/>
    </xf>
    <xf numFmtId="0" fontId="4" fillId="0" borderId="10" xfId="0" applyFont="1" applyBorder="1" applyAlignment="1">
      <alignment horizontal="center"/>
    </xf>
    <xf numFmtId="2" fontId="5" fillId="0" borderId="0" xfId="0" applyNumberFormat="1" applyFont="1"/>
    <xf numFmtId="2" fontId="4" fillId="0" borderId="0" xfId="0" applyNumberFormat="1" applyFont="1" applyAlignment="1">
      <alignment horizontal="center"/>
    </xf>
    <xf numFmtId="165" fontId="4" fillId="0" borderId="0" xfId="0" applyNumberFormat="1" applyFont="1" applyAlignment="1">
      <alignment horizontal="center"/>
    </xf>
    <xf numFmtId="10" fontId="4" fillId="0" borderId="3" xfId="0" applyNumberFormat="1" applyFont="1" applyBorder="1"/>
    <xf numFmtId="10" fontId="7" fillId="3" borderId="3" xfId="1" applyNumberFormat="1" applyFont="1" applyFill="1" applyBorder="1" applyAlignment="1" applyProtection="1">
      <alignment horizontal="center" vertical="center"/>
    </xf>
    <xf numFmtId="10" fontId="4" fillId="5" borderId="3" xfId="0" applyNumberFormat="1" applyFont="1" applyFill="1" applyBorder="1" applyAlignment="1">
      <alignment horizontal="center" vertical="center"/>
    </xf>
    <xf numFmtId="10" fontId="4" fillId="0" borderId="3" xfId="0" applyNumberFormat="1" applyFont="1" applyBorder="1" applyAlignment="1">
      <alignment horizontal="center" vertical="center"/>
    </xf>
    <xf numFmtId="10" fontId="5" fillId="2" borderId="3" xfId="0" applyNumberFormat="1" applyFont="1" applyFill="1" applyBorder="1" applyAlignment="1">
      <alignment horizontal="center" vertical="center"/>
    </xf>
    <xf numFmtId="10" fontId="4" fillId="9" borderId="3" xfId="0" applyNumberFormat="1" applyFont="1" applyFill="1" applyBorder="1" applyAlignment="1">
      <alignment horizontal="center" vertical="center"/>
    </xf>
    <xf numFmtId="10" fontId="9" fillId="10" borderId="3" xfId="0" applyNumberFormat="1" applyFont="1" applyFill="1" applyBorder="1" applyAlignment="1">
      <alignment horizontal="center" vertical="center"/>
    </xf>
    <xf numFmtId="10" fontId="9" fillId="7" borderId="3" xfId="0" applyNumberFormat="1" applyFont="1" applyFill="1" applyBorder="1" applyAlignment="1">
      <alignment horizontal="center" vertical="center"/>
    </xf>
    <xf numFmtId="10" fontId="9" fillId="9" borderId="3" xfId="0" applyNumberFormat="1" applyFont="1" applyFill="1" applyBorder="1" applyAlignment="1">
      <alignment horizontal="center" vertical="center"/>
    </xf>
    <xf numFmtId="10" fontId="10" fillId="10" borderId="3" xfId="0" applyNumberFormat="1" applyFont="1" applyFill="1" applyBorder="1" applyAlignment="1">
      <alignment horizontal="center" vertical="center"/>
    </xf>
    <xf numFmtId="10" fontId="11" fillId="5" borderId="3" xfId="0" applyNumberFormat="1" applyFont="1" applyFill="1" applyBorder="1" applyAlignment="1">
      <alignment horizontal="center" vertical="center"/>
    </xf>
    <xf numFmtId="10" fontId="11" fillId="4" borderId="3" xfId="0" applyNumberFormat="1" applyFont="1" applyFill="1" applyBorder="1" applyAlignment="1">
      <alignment horizontal="center" vertical="center"/>
    </xf>
    <xf numFmtId="10" fontId="7" fillId="9" borderId="3" xfId="0" applyNumberFormat="1" applyFont="1" applyFill="1" applyBorder="1" applyAlignment="1">
      <alignment horizontal="center" vertical="center"/>
    </xf>
    <xf numFmtId="10" fontId="7" fillId="9" borderId="3" xfId="2" applyNumberFormat="1" applyFont="1" applyFill="1" applyBorder="1" applyAlignment="1" applyProtection="1">
      <alignment horizontal="center" vertical="center"/>
    </xf>
    <xf numFmtId="10" fontId="13" fillId="3" borderId="3" xfId="2" applyNumberFormat="1" applyFont="1" applyFill="1" applyBorder="1" applyAlignment="1" applyProtection="1">
      <alignment horizontal="center" vertical="center"/>
    </xf>
    <xf numFmtId="10" fontId="13" fillId="0" borderId="3" xfId="2" applyNumberFormat="1" applyFont="1" applyBorder="1" applyAlignment="1" applyProtection="1">
      <alignment horizontal="center" vertical="center"/>
    </xf>
    <xf numFmtId="10" fontId="5" fillId="3" borderId="3" xfId="0" applyNumberFormat="1" applyFont="1" applyFill="1" applyBorder="1" applyAlignment="1">
      <alignment horizontal="center" vertical="center"/>
    </xf>
    <xf numFmtId="10" fontId="5" fillId="0" borderId="3" xfId="0" applyNumberFormat="1" applyFont="1" applyBorder="1" applyAlignment="1">
      <alignment horizontal="center" vertical="center"/>
    </xf>
    <xf numFmtId="10" fontId="12" fillId="4" borderId="3" xfId="0" applyNumberFormat="1" applyFont="1" applyFill="1" applyBorder="1" applyAlignment="1">
      <alignment horizontal="center" vertical="center"/>
    </xf>
    <xf numFmtId="10" fontId="5" fillId="0" borderId="6" xfId="0" applyNumberFormat="1" applyFont="1" applyBorder="1" applyAlignment="1">
      <alignment horizontal="center" vertical="center"/>
    </xf>
    <xf numFmtId="10" fontId="4" fillId="2" borderId="20" xfId="0" applyNumberFormat="1" applyFont="1" applyFill="1" applyBorder="1" applyAlignment="1">
      <alignment horizontal="center" vertical="center"/>
    </xf>
    <xf numFmtId="10" fontId="5" fillId="2" borderId="20" xfId="0" applyNumberFormat="1" applyFont="1" applyFill="1" applyBorder="1" applyAlignment="1">
      <alignment horizontal="center" vertical="center"/>
    </xf>
    <xf numFmtId="10" fontId="4" fillId="5" borderId="20" xfId="0" applyNumberFormat="1" applyFont="1" applyFill="1" applyBorder="1" applyAlignment="1">
      <alignment horizontal="center" vertical="center"/>
    </xf>
    <xf numFmtId="10" fontId="4" fillId="3" borderId="20" xfId="0" applyNumberFormat="1" applyFont="1" applyFill="1" applyBorder="1" applyAlignment="1">
      <alignment horizontal="center" vertical="center"/>
    </xf>
    <xf numFmtId="10" fontId="9" fillId="5" borderId="20" xfId="0" applyNumberFormat="1" applyFont="1" applyFill="1" applyBorder="1" applyAlignment="1">
      <alignment horizontal="center" vertical="center"/>
    </xf>
    <xf numFmtId="10" fontId="9" fillId="7" borderId="20" xfId="0" applyNumberFormat="1" applyFont="1" applyFill="1" applyBorder="1" applyAlignment="1">
      <alignment horizontal="center" vertical="center"/>
    </xf>
    <xf numFmtId="10" fontId="9" fillId="6" borderId="20" xfId="0" applyNumberFormat="1" applyFont="1" applyFill="1" applyBorder="1" applyAlignment="1">
      <alignment horizontal="center" vertical="center"/>
    </xf>
    <xf numFmtId="10" fontId="11" fillId="5" borderId="20" xfId="0" applyNumberFormat="1" applyFont="1" applyFill="1" applyBorder="1" applyAlignment="1">
      <alignment horizontal="center" vertical="center"/>
    </xf>
    <xf numFmtId="10" fontId="4" fillId="0" borderId="20" xfId="0" applyNumberFormat="1" applyFont="1" applyBorder="1" applyAlignment="1">
      <alignment horizontal="center" vertical="center"/>
    </xf>
    <xf numFmtId="10" fontId="11" fillId="4" borderId="20" xfId="0" applyNumberFormat="1" applyFont="1" applyFill="1" applyBorder="1" applyAlignment="1">
      <alignment horizontal="center" vertical="center"/>
    </xf>
    <xf numFmtId="10" fontId="13" fillId="3" borderId="20" xfId="0" applyNumberFormat="1" applyFont="1" applyFill="1" applyBorder="1" applyAlignment="1">
      <alignment horizontal="center" vertical="center"/>
    </xf>
    <xf numFmtId="10" fontId="13" fillId="3" borderId="20" xfId="2" applyNumberFormat="1" applyFont="1" applyFill="1" applyBorder="1" applyAlignment="1" applyProtection="1">
      <alignment horizontal="center" vertical="center"/>
    </xf>
    <xf numFmtId="10" fontId="13" fillId="0" borderId="20" xfId="2" applyNumberFormat="1" applyFont="1" applyBorder="1" applyAlignment="1" applyProtection="1">
      <alignment horizontal="center" vertical="center"/>
    </xf>
    <xf numFmtId="10" fontId="13" fillId="0" borderId="20" xfId="0" applyNumberFormat="1" applyFont="1" applyBorder="1" applyAlignment="1">
      <alignment horizontal="center" vertical="center"/>
    </xf>
    <xf numFmtId="10" fontId="15" fillId="0" borderId="20" xfId="0" applyNumberFormat="1" applyFont="1" applyBorder="1" applyAlignment="1">
      <alignment horizontal="center" vertical="center"/>
    </xf>
    <xf numFmtId="10" fontId="12" fillId="4" borderId="20" xfId="0" applyNumberFormat="1" applyFont="1" applyFill="1" applyBorder="1" applyAlignment="1">
      <alignment horizontal="center" vertical="center"/>
    </xf>
    <xf numFmtId="10" fontId="5" fillId="0" borderId="20" xfId="0" applyNumberFormat="1" applyFont="1" applyBorder="1" applyAlignment="1">
      <alignment horizontal="center" vertical="center"/>
    </xf>
    <xf numFmtId="10" fontId="5" fillId="3" borderId="20" xfId="0" applyNumberFormat="1" applyFont="1" applyFill="1" applyBorder="1" applyAlignment="1">
      <alignment horizontal="center" vertical="center"/>
    </xf>
    <xf numFmtId="10" fontId="5" fillId="0" borderId="21" xfId="0" applyNumberFormat="1" applyFont="1" applyBorder="1" applyAlignment="1">
      <alignment horizontal="center" vertical="center"/>
    </xf>
    <xf numFmtId="166" fontId="4" fillId="2" borderId="20" xfId="0" applyNumberFormat="1" applyFont="1" applyFill="1" applyBorder="1" applyAlignment="1">
      <alignment horizontal="center" vertical="center"/>
    </xf>
    <xf numFmtId="166" fontId="5" fillId="2" borderId="20" xfId="0" applyNumberFormat="1" applyFont="1" applyFill="1" applyBorder="1" applyAlignment="1">
      <alignment horizontal="center" vertical="center"/>
    </xf>
    <xf numFmtId="166" fontId="4" fillId="5" borderId="20" xfId="0" applyNumberFormat="1" applyFont="1" applyFill="1" applyBorder="1" applyAlignment="1">
      <alignment horizontal="center" vertical="center"/>
    </xf>
    <xf numFmtId="166" fontId="4" fillId="3" borderId="20" xfId="0" applyNumberFormat="1" applyFont="1" applyFill="1" applyBorder="1" applyAlignment="1">
      <alignment horizontal="center" vertical="center"/>
    </xf>
    <xf numFmtId="166" fontId="9" fillId="5" borderId="20" xfId="0" applyNumberFormat="1" applyFont="1" applyFill="1" applyBorder="1" applyAlignment="1">
      <alignment horizontal="center" vertical="center"/>
    </xf>
    <xf numFmtId="166" fontId="9" fillId="7" borderId="20" xfId="0" applyNumberFormat="1" applyFont="1" applyFill="1" applyBorder="1" applyAlignment="1">
      <alignment horizontal="center" vertical="center"/>
    </xf>
    <xf numFmtId="166" fontId="9" fillId="6" borderId="20" xfId="0" applyNumberFormat="1" applyFont="1" applyFill="1" applyBorder="1" applyAlignment="1">
      <alignment horizontal="center" vertical="center"/>
    </xf>
    <xf numFmtId="166" fontId="11" fillId="5" borderId="20" xfId="0" applyNumberFormat="1" applyFont="1" applyFill="1" applyBorder="1" applyAlignment="1">
      <alignment horizontal="center" vertical="center"/>
    </xf>
    <xf numFmtId="166" fontId="4" fillId="0" borderId="20" xfId="0" applyNumberFormat="1" applyFont="1" applyBorder="1" applyAlignment="1">
      <alignment horizontal="center" vertical="center"/>
    </xf>
    <xf numFmtId="166" fontId="11" fillId="4" borderId="20" xfId="0" applyNumberFormat="1" applyFont="1" applyFill="1" applyBorder="1" applyAlignment="1">
      <alignment horizontal="center" vertical="center"/>
    </xf>
    <xf numFmtId="166" fontId="13" fillId="3" borderId="20" xfId="0" applyNumberFormat="1" applyFont="1" applyFill="1" applyBorder="1" applyAlignment="1">
      <alignment horizontal="center" vertical="center"/>
    </xf>
    <xf numFmtId="166" fontId="13" fillId="3" borderId="20" xfId="2" applyNumberFormat="1" applyFont="1" applyFill="1" applyBorder="1" applyAlignment="1" applyProtection="1">
      <alignment horizontal="center" vertical="center"/>
    </xf>
    <xf numFmtId="166" fontId="13" fillId="0" borderId="20" xfId="2" applyNumberFormat="1" applyFont="1" applyBorder="1" applyAlignment="1" applyProtection="1">
      <alignment horizontal="center" vertical="center"/>
    </xf>
    <xf numFmtId="166" fontId="13" fillId="0" borderId="20" xfId="0" applyNumberFormat="1" applyFont="1" applyBorder="1" applyAlignment="1">
      <alignment horizontal="center" vertical="center"/>
    </xf>
    <xf numFmtId="166" fontId="15" fillId="0" borderId="20" xfId="0" applyNumberFormat="1" applyFont="1" applyBorder="1" applyAlignment="1">
      <alignment horizontal="center" vertical="center"/>
    </xf>
    <xf numFmtId="166" fontId="12" fillId="4" borderId="20" xfId="0" applyNumberFormat="1" applyFont="1" applyFill="1" applyBorder="1" applyAlignment="1">
      <alignment horizontal="center" vertical="center"/>
    </xf>
    <xf numFmtId="166" fontId="5" fillId="0" borderId="20" xfId="0" applyNumberFormat="1" applyFont="1" applyBorder="1" applyAlignment="1">
      <alignment horizontal="center" vertical="center"/>
    </xf>
    <xf numFmtId="166" fontId="5" fillId="3" borderId="20" xfId="0" applyNumberFormat="1" applyFont="1" applyFill="1" applyBorder="1" applyAlignment="1">
      <alignment horizontal="center" vertical="center"/>
    </xf>
    <xf numFmtId="10" fontId="5" fillId="2" borderId="19" xfId="0" applyNumberFormat="1" applyFont="1" applyFill="1" applyBorder="1" applyAlignment="1">
      <alignment horizontal="center"/>
    </xf>
    <xf numFmtId="10" fontId="5" fillId="2" borderId="3" xfId="0" applyNumberFormat="1" applyFont="1" applyFill="1" applyBorder="1" applyAlignment="1">
      <alignment horizontal="center"/>
    </xf>
    <xf numFmtId="10" fontId="4" fillId="2" borderId="20" xfId="0" applyNumberFormat="1" applyFont="1" applyFill="1" applyBorder="1" applyAlignment="1">
      <alignment horizontal="center"/>
    </xf>
    <xf numFmtId="10" fontId="7" fillId="5" borderId="20" xfId="1" applyNumberFormat="1" applyFont="1" applyFill="1" applyBorder="1" applyAlignment="1">
      <alignment horizontal="center" vertical="center"/>
    </xf>
    <xf numFmtId="10" fontId="4" fillId="0" borderId="0" xfId="0" applyNumberFormat="1" applyFont="1" applyAlignment="1">
      <alignment horizontal="center"/>
    </xf>
    <xf numFmtId="2" fontId="5" fillId="2" borderId="20" xfId="0" applyNumberFormat="1" applyFont="1" applyFill="1" applyBorder="1" applyAlignment="1">
      <alignment horizontal="center" vertical="center"/>
    </xf>
    <xf numFmtId="2" fontId="5" fillId="2" borderId="19" xfId="0" applyNumberFormat="1" applyFont="1" applyFill="1" applyBorder="1" applyAlignment="1">
      <alignment horizontal="center"/>
    </xf>
    <xf numFmtId="2" fontId="5" fillId="2" borderId="3" xfId="0" applyNumberFormat="1" applyFont="1" applyFill="1" applyBorder="1" applyAlignment="1">
      <alignment horizontal="center"/>
    </xf>
    <xf numFmtId="2" fontId="4" fillId="2" borderId="20" xfId="0" applyNumberFormat="1" applyFont="1" applyFill="1" applyBorder="1" applyAlignment="1">
      <alignment horizontal="center"/>
    </xf>
    <xf numFmtId="2" fontId="7" fillId="5" borderId="20" xfId="1" applyNumberFormat="1" applyFont="1" applyFill="1" applyBorder="1" applyAlignment="1">
      <alignment horizontal="center" vertical="center"/>
    </xf>
    <xf numFmtId="2" fontId="4" fillId="2" borderId="20" xfId="0" applyNumberFormat="1" applyFont="1" applyFill="1" applyBorder="1" applyAlignment="1">
      <alignment horizontal="center" vertical="center"/>
    </xf>
    <xf numFmtId="2" fontId="4" fillId="5" borderId="20" xfId="0" applyNumberFormat="1" applyFont="1" applyFill="1" applyBorder="1" applyAlignment="1">
      <alignment horizontal="center" vertical="center"/>
    </xf>
    <xf numFmtId="2" fontId="4" fillId="3" borderId="20" xfId="0" applyNumberFormat="1" applyFont="1" applyFill="1" applyBorder="1" applyAlignment="1">
      <alignment horizontal="center" vertical="center"/>
    </xf>
    <xf numFmtId="2" fontId="9" fillId="5" borderId="20" xfId="0" applyNumberFormat="1" applyFont="1" applyFill="1" applyBorder="1" applyAlignment="1">
      <alignment horizontal="center" vertical="center"/>
    </xf>
    <xf numFmtId="2" fontId="9" fillId="7" borderId="20" xfId="0" applyNumberFormat="1" applyFont="1" applyFill="1" applyBorder="1" applyAlignment="1">
      <alignment horizontal="center" vertical="center"/>
    </xf>
    <xf numFmtId="2" fontId="9" fillId="6" borderId="20" xfId="0" applyNumberFormat="1" applyFont="1" applyFill="1" applyBorder="1" applyAlignment="1">
      <alignment horizontal="center" vertical="center"/>
    </xf>
    <xf numFmtId="2" fontId="11" fillId="5" borderId="20" xfId="0" applyNumberFormat="1" applyFont="1" applyFill="1" applyBorder="1" applyAlignment="1">
      <alignment horizontal="center" vertical="center"/>
    </xf>
    <xf numFmtId="2" fontId="4" fillId="0" borderId="20" xfId="0" applyNumberFormat="1" applyFont="1" applyBorder="1" applyAlignment="1">
      <alignment horizontal="center" vertical="center"/>
    </xf>
    <xf numFmtId="2" fontId="11" fillId="4" borderId="20" xfId="0" applyNumberFormat="1" applyFont="1" applyFill="1" applyBorder="1" applyAlignment="1">
      <alignment horizontal="center" vertical="center"/>
    </xf>
    <xf numFmtId="2" fontId="13" fillId="3" borderId="20" xfId="0" applyNumberFormat="1" applyFont="1" applyFill="1" applyBorder="1" applyAlignment="1">
      <alignment horizontal="center" vertical="center"/>
    </xf>
    <xf numFmtId="2" fontId="13" fillId="3" borderId="20" xfId="2" applyNumberFormat="1" applyFont="1" applyFill="1" applyBorder="1" applyAlignment="1" applyProtection="1">
      <alignment horizontal="center" vertical="center"/>
    </xf>
    <xf numFmtId="2" fontId="13" fillId="0" borderId="20" xfId="2" applyNumberFormat="1" applyFont="1" applyBorder="1" applyAlignment="1" applyProtection="1">
      <alignment horizontal="center" vertical="center"/>
    </xf>
    <xf numFmtId="2" fontId="13" fillId="0" borderId="20" xfId="0" applyNumberFormat="1" applyFont="1" applyBorder="1" applyAlignment="1">
      <alignment horizontal="center" vertical="center"/>
    </xf>
    <xf numFmtId="2" fontId="15" fillId="0" borderId="20" xfId="0" applyNumberFormat="1" applyFont="1" applyBorder="1" applyAlignment="1">
      <alignment horizontal="center" vertical="center"/>
    </xf>
    <xf numFmtId="2" fontId="12" fillId="4" borderId="20" xfId="0" applyNumberFormat="1" applyFont="1" applyFill="1" applyBorder="1" applyAlignment="1">
      <alignment horizontal="center" vertical="center"/>
    </xf>
    <xf numFmtId="2" fontId="5" fillId="0" borderId="20" xfId="0" applyNumberFormat="1" applyFont="1" applyBorder="1" applyAlignment="1">
      <alignment horizontal="center" vertical="center"/>
    </xf>
    <xf numFmtId="2" fontId="5" fillId="3" borderId="20" xfId="0" applyNumberFormat="1" applyFont="1" applyFill="1" applyBorder="1" applyAlignment="1">
      <alignment horizontal="center" vertical="center"/>
    </xf>
    <xf numFmtId="2" fontId="5" fillId="0" borderId="21" xfId="0" applyNumberFormat="1" applyFont="1" applyBorder="1" applyAlignment="1">
      <alignment horizontal="center" vertical="center"/>
    </xf>
    <xf numFmtId="10" fontId="10" fillId="5" borderId="20" xfId="0" applyNumberFormat="1" applyFont="1" applyFill="1" applyBorder="1" applyAlignment="1">
      <alignment horizontal="center" vertical="center"/>
    </xf>
    <xf numFmtId="3" fontId="10" fillId="5" borderId="20" xfId="0" applyNumberFormat="1" applyFont="1" applyFill="1" applyBorder="1" applyAlignment="1">
      <alignment horizontal="center" vertical="center"/>
    </xf>
    <xf numFmtId="2" fontId="10" fillId="5" borderId="20" xfId="0" applyNumberFormat="1" applyFont="1" applyFill="1" applyBorder="1" applyAlignment="1">
      <alignment horizontal="center" vertical="center"/>
    </xf>
    <xf numFmtId="3" fontId="7" fillId="3" borderId="20" xfId="0" applyNumberFormat="1" applyFont="1" applyFill="1" applyBorder="1" applyAlignment="1">
      <alignment horizontal="center" vertical="center"/>
    </xf>
    <xf numFmtId="2" fontId="7" fillId="3" borderId="20" xfId="0" applyNumberFormat="1" applyFont="1" applyFill="1" applyBorder="1" applyAlignment="1">
      <alignment horizontal="center" vertical="center"/>
    </xf>
    <xf numFmtId="3" fontId="7" fillId="3" borderId="20" xfId="2" applyNumberFormat="1" applyFont="1" applyFill="1" applyBorder="1" applyAlignment="1" applyProtection="1">
      <alignment horizontal="center" vertical="center"/>
    </xf>
    <xf numFmtId="2" fontId="7" fillId="3" borderId="20" xfId="2" applyNumberFormat="1" applyFont="1" applyFill="1" applyBorder="1" applyAlignment="1" applyProtection="1">
      <alignment horizontal="center" vertical="center"/>
    </xf>
    <xf numFmtId="3" fontId="7" fillId="8" borderId="20" xfId="0" applyNumberFormat="1" applyFont="1" applyFill="1" applyBorder="1" applyAlignment="1">
      <alignment horizontal="center" vertical="center"/>
    </xf>
    <xf numFmtId="2" fontId="7" fillId="8" borderId="20" xfId="0" applyNumberFormat="1" applyFont="1" applyFill="1" applyBorder="1" applyAlignment="1">
      <alignment horizontal="center" vertical="center"/>
    </xf>
    <xf numFmtId="2" fontId="7" fillId="8" borderId="20" xfId="2" applyNumberFormat="1" applyFont="1" applyFill="1" applyBorder="1" applyAlignment="1" applyProtection="1">
      <alignment horizontal="center" vertical="center"/>
    </xf>
    <xf numFmtId="2" fontId="5" fillId="11" borderId="3" xfId="0" applyNumberFormat="1" applyFont="1" applyFill="1" applyBorder="1" applyAlignment="1">
      <alignment horizontal="center" wrapText="1"/>
    </xf>
    <xf numFmtId="2" fontId="7" fillId="12" borderId="20" xfId="1" applyNumberFormat="1" applyFont="1" applyFill="1" applyBorder="1" applyAlignment="1">
      <alignment horizontal="center" vertical="center"/>
    </xf>
    <xf numFmtId="2" fontId="7" fillId="13" borderId="20" xfId="0" applyNumberFormat="1" applyFont="1" applyFill="1" applyBorder="1" applyAlignment="1">
      <alignment horizontal="center" vertical="center"/>
    </xf>
    <xf numFmtId="2" fontId="7" fillId="13" borderId="20" xfId="2" applyNumberFormat="1" applyFont="1" applyFill="1" applyBorder="1" applyAlignment="1" applyProtection="1">
      <alignment horizontal="center" vertical="center"/>
    </xf>
    <xf numFmtId="2" fontId="13" fillId="13" borderId="20" xfId="2" applyNumberFormat="1" applyFont="1" applyFill="1" applyBorder="1" applyAlignment="1" applyProtection="1">
      <alignment horizontal="center" vertical="center"/>
    </xf>
    <xf numFmtId="2" fontId="13" fillId="12" borderId="20" xfId="2" applyNumberFormat="1" applyFont="1" applyFill="1" applyBorder="1" applyAlignment="1" applyProtection="1">
      <alignment horizontal="center" vertical="center"/>
    </xf>
    <xf numFmtId="2" fontId="13" fillId="13" borderId="20" xfId="0" applyNumberFormat="1" applyFont="1" applyFill="1" applyBorder="1" applyAlignment="1">
      <alignment horizontal="center" vertical="center"/>
    </xf>
    <xf numFmtId="2" fontId="13" fillId="12" borderId="20" xfId="0" applyNumberFormat="1" applyFont="1" applyFill="1" applyBorder="1" applyAlignment="1">
      <alignment horizontal="center" vertical="center"/>
    </xf>
    <xf numFmtId="2" fontId="5" fillId="12" borderId="21" xfId="0" applyNumberFormat="1" applyFont="1" applyFill="1" applyBorder="1" applyAlignment="1">
      <alignment horizontal="center" vertical="center"/>
    </xf>
    <xf numFmtId="44" fontId="7" fillId="12" borderId="20" xfId="1" applyNumberFormat="1" applyFont="1" applyFill="1" applyBorder="1" applyAlignment="1">
      <alignment horizontal="center" vertical="center"/>
    </xf>
    <xf numFmtId="44" fontId="7" fillId="13" borderId="20" xfId="0" applyNumberFormat="1" applyFont="1" applyFill="1" applyBorder="1" applyAlignment="1">
      <alignment horizontal="center" vertical="center"/>
    </xf>
    <xf numFmtId="44" fontId="7" fillId="13" borderId="20" xfId="2" applyNumberFormat="1" applyFont="1" applyFill="1" applyBorder="1" applyAlignment="1" applyProtection="1">
      <alignment horizontal="center" vertical="center"/>
    </xf>
    <xf numFmtId="44" fontId="13" fillId="13" borderId="20" xfId="2" applyNumberFormat="1" applyFont="1" applyFill="1" applyBorder="1" applyAlignment="1" applyProtection="1">
      <alignment horizontal="center" vertical="center"/>
    </xf>
    <xf numFmtId="44" fontId="13" fillId="12" borderId="20" xfId="2" applyNumberFormat="1" applyFont="1" applyFill="1" applyBorder="1" applyAlignment="1" applyProtection="1">
      <alignment horizontal="center" vertical="center"/>
    </xf>
    <xf numFmtId="44" fontId="13" fillId="13" borderId="20" xfId="0" applyNumberFormat="1" applyFont="1" applyFill="1" applyBorder="1" applyAlignment="1">
      <alignment horizontal="center" vertical="center"/>
    </xf>
    <xf numFmtId="44" fontId="13" fillId="12" borderId="20" xfId="0" applyNumberFormat="1" applyFont="1" applyFill="1" applyBorder="1" applyAlignment="1">
      <alignment horizontal="center" vertical="center"/>
    </xf>
    <xf numFmtId="44" fontId="5" fillId="12" borderId="21" xfId="0" applyNumberFormat="1" applyFont="1" applyFill="1" applyBorder="1" applyAlignment="1">
      <alignment horizontal="center" vertical="center"/>
    </xf>
    <xf numFmtId="10" fontId="17" fillId="2" borderId="20" xfId="0" applyNumberFormat="1" applyFont="1" applyFill="1" applyBorder="1" applyAlignment="1">
      <alignment horizontal="center" vertical="center"/>
    </xf>
    <xf numFmtId="3" fontId="17" fillId="2" borderId="20" xfId="0" applyNumberFormat="1" applyFont="1" applyFill="1" applyBorder="1" applyAlignment="1">
      <alignment horizontal="center" vertical="center"/>
    </xf>
    <xf numFmtId="2" fontId="17" fillId="2" borderId="20" xfId="0" applyNumberFormat="1" applyFont="1" applyFill="1" applyBorder="1" applyAlignment="1">
      <alignment horizontal="center" vertical="center"/>
    </xf>
    <xf numFmtId="2" fontId="17" fillId="11" borderId="20" xfId="0" applyNumberFormat="1" applyFont="1" applyFill="1" applyBorder="1" applyAlignment="1">
      <alignment horizontal="center" vertical="center"/>
    </xf>
    <xf numFmtId="44" fontId="17" fillId="11" borderId="20" xfId="0" applyNumberFormat="1" applyFont="1" applyFill="1" applyBorder="1" applyAlignment="1">
      <alignment horizontal="center" vertical="center"/>
    </xf>
    <xf numFmtId="0" fontId="17" fillId="0" borderId="0" xfId="0" applyFont="1"/>
    <xf numFmtId="0" fontId="18" fillId="0" borderId="0" xfId="0" applyFont="1"/>
    <xf numFmtId="2" fontId="7" fillId="11" borderId="20" xfId="0" applyNumberFormat="1" applyFont="1" applyFill="1" applyBorder="1" applyAlignment="1">
      <alignment horizontal="center"/>
    </xf>
    <xf numFmtId="44" fontId="7" fillId="11" borderId="20" xfId="0" applyNumberFormat="1" applyFont="1" applyFill="1" applyBorder="1" applyAlignment="1">
      <alignment horizontal="center"/>
    </xf>
    <xf numFmtId="2" fontId="7" fillId="11" borderId="20" xfId="0" applyNumberFormat="1" applyFont="1" applyFill="1" applyBorder="1" applyAlignment="1">
      <alignment horizontal="center" vertical="center"/>
    </xf>
    <xf numFmtId="44" fontId="7" fillId="11" borderId="20" xfId="0" applyNumberFormat="1" applyFont="1" applyFill="1" applyBorder="1" applyAlignment="1">
      <alignment horizontal="center" vertical="center"/>
    </xf>
    <xf numFmtId="2" fontId="13" fillId="11" borderId="20" xfId="0" applyNumberFormat="1" applyFont="1" applyFill="1" applyBorder="1" applyAlignment="1">
      <alignment horizontal="center" vertical="center"/>
    </xf>
    <xf numFmtId="44" fontId="13" fillId="11" borderId="20" xfId="0" applyNumberFormat="1" applyFont="1" applyFill="1" applyBorder="1" applyAlignment="1">
      <alignment horizontal="center" vertical="center"/>
    </xf>
    <xf numFmtId="2" fontId="7" fillId="12" borderId="20" xfId="0" applyNumberFormat="1" applyFont="1" applyFill="1" applyBorder="1" applyAlignment="1">
      <alignment horizontal="center" vertical="center"/>
    </xf>
    <xf numFmtId="44" fontId="7" fillId="12" borderId="20" xfId="0" applyNumberFormat="1" applyFont="1" applyFill="1" applyBorder="1" applyAlignment="1">
      <alignment horizontal="center" vertical="center"/>
    </xf>
    <xf numFmtId="0" fontId="7" fillId="0" borderId="0" xfId="0" applyFont="1" applyAlignment="1">
      <alignment horizontal="center"/>
    </xf>
    <xf numFmtId="2" fontId="13" fillId="6" borderId="26" xfId="0" applyNumberFormat="1" applyFont="1" applyFill="1" applyBorder="1" applyAlignment="1">
      <alignment horizontal="center"/>
    </xf>
    <xf numFmtId="2" fontId="13" fillId="8" borderId="20" xfId="2" applyNumberFormat="1" applyFont="1" applyFill="1" applyBorder="1" applyAlignment="1" applyProtection="1">
      <alignment horizontal="center" vertical="center"/>
    </xf>
    <xf numFmtId="2" fontId="13" fillId="8" borderId="20" xfId="0" applyNumberFormat="1" applyFont="1" applyFill="1" applyBorder="1" applyAlignment="1">
      <alignment horizontal="center" vertical="center"/>
    </xf>
    <xf numFmtId="0" fontId="5" fillId="0" borderId="10" xfId="0" applyFont="1" applyBorder="1" applyAlignment="1">
      <alignment horizontal="center" vertical="center"/>
    </xf>
    <xf numFmtId="0" fontId="5" fillId="0" borderId="0" xfId="0" applyFont="1" applyAlignment="1">
      <alignment horizontal="center" vertical="center"/>
    </xf>
    <xf numFmtId="0" fontId="5" fillId="0" borderId="11" xfId="0" applyFont="1" applyBorder="1" applyAlignment="1">
      <alignment horizontal="center" vertical="center"/>
    </xf>
    <xf numFmtId="0" fontId="18" fillId="0" borderId="7" xfId="0" applyFont="1" applyBorder="1"/>
    <xf numFmtId="0" fontId="18" fillId="0" borderId="8" xfId="0" applyFont="1" applyBorder="1"/>
    <xf numFmtId="0" fontId="18" fillId="0" borderId="10" xfId="0" applyFont="1" applyBorder="1"/>
    <xf numFmtId="0" fontId="17" fillId="0" borderId="10" xfId="0" applyFont="1" applyBorder="1"/>
    <xf numFmtId="0" fontId="17" fillId="0" borderId="10" xfId="0" applyFont="1" applyBorder="1" applyAlignment="1">
      <alignment horizontal="center"/>
    </xf>
    <xf numFmtId="0" fontId="17" fillId="0" borderId="0" xfId="0" applyFont="1" applyAlignment="1">
      <alignment horizontal="center"/>
    </xf>
    <xf numFmtId="0" fontId="17" fillId="0" borderId="2" xfId="0" applyFont="1" applyBorder="1"/>
    <xf numFmtId="0" fontId="17" fillId="0" borderId="2" xfId="0" applyFont="1" applyBorder="1" applyAlignment="1">
      <alignment horizontal="left" indent="15"/>
    </xf>
    <xf numFmtId="0" fontId="18" fillId="0" borderId="8" xfId="0" applyFont="1" applyBorder="1" applyAlignment="1">
      <alignment horizontal="center"/>
    </xf>
    <xf numFmtId="0" fontId="18" fillId="0" borderId="9" xfId="0" applyFont="1" applyBorder="1" applyAlignment="1">
      <alignment horizontal="center"/>
    </xf>
    <xf numFmtId="0" fontId="18" fillId="0" borderId="0" xfId="0" applyFont="1" applyAlignment="1">
      <alignment horizontal="center"/>
    </xf>
    <xf numFmtId="0" fontId="18" fillId="0" borderId="11" xfId="0" applyFont="1" applyBorder="1" applyAlignment="1">
      <alignment horizontal="center"/>
    </xf>
    <xf numFmtId="0" fontId="17" fillId="0" borderId="11" xfId="0" applyFont="1" applyBorder="1" applyAlignment="1">
      <alignment horizontal="center"/>
    </xf>
    <xf numFmtId="164" fontId="17" fillId="0" borderId="2" xfId="0" applyNumberFormat="1" applyFont="1" applyBorder="1" applyAlignment="1">
      <alignment horizontal="center"/>
    </xf>
    <xf numFmtId="0" fontId="17" fillId="0" borderId="3" xfId="0" applyFont="1" applyBorder="1" applyAlignment="1">
      <alignment horizontal="center"/>
    </xf>
    <xf numFmtId="3" fontId="18" fillId="0" borderId="2" xfId="0" applyNumberFormat="1" applyFont="1" applyBorder="1"/>
    <xf numFmtId="3" fontId="18" fillId="0" borderId="2" xfId="0" applyNumberFormat="1" applyFont="1" applyBorder="1" applyAlignment="1">
      <alignment horizontal="center"/>
    </xf>
    <xf numFmtId="3" fontId="18" fillId="0" borderId="3" xfId="0" applyNumberFormat="1" applyFont="1" applyBorder="1" applyAlignment="1">
      <alignment horizontal="center"/>
    </xf>
    <xf numFmtId="9" fontId="22" fillId="0" borderId="2" xfId="1" applyFont="1" applyBorder="1" applyAlignment="1" applyProtection="1">
      <alignment horizontal="center" vertical="center"/>
    </xf>
    <xf numFmtId="9" fontId="22" fillId="0" borderId="2" xfId="1" applyFont="1" applyBorder="1" applyAlignment="1">
      <alignment horizontal="center" vertical="center"/>
    </xf>
    <xf numFmtId="9" fontId="22" fillId="0" borderId="3" xfId="1" applyFont="1" applyBorder="1" applyAlignment="1">
      <alignment horizontal="center" vertical="center"/>
    </xf>
    <xf numFmtId="3" fontId="18" fillId="0" borderId="2" xfId="0" applyNumberFormat="1" applyFont="1" applyBorder="1" applyAlignment="1">
      <alignment horizontal="center" vertical="center"/>
    </xf>
    <xf numFmtId="3" fontId="18" fillId="0" borderId="3" xfId="0" applyNumberFormat="1" applyFont="1" applyBorder="1" applyAlignment="1">
      <alignment horizontal="center" vertical="center"/>
    </xf>
    <xf numFmtId="3" fontId="17" fillId="0" borderId="2" xfId="0" applyNumberFormat="1" applyFont="1" applyBorder="1" applyAlignment="1">
      <alignment horizontal="center" vertical="center"/>
    </xf>
    <xf numFmtId="3" fontId="17" fillId="0" borderId="3" xfId="0" applyNumberFormat="1" applyFont="1" applyBorder="1" applyAlignment="1">
      <alignment horizontal="center" vertical="center"/>
    </xf>
    <xf numFmtId="164" fontId="17" fillId="0" borderId="2" xfId="0" applyNumberFormat="1" applyFont="1" applyBorder="1" applyAlignment="1">
      <alignment horizontal="center" vertical="center"/>
    </xf>
    <xf numFmtId="3" fontId="23" fillId="0" borderId="2" xfId="0" applyNumberFormat="1" applyFont="1" applyBorder="1" applyAlignment="1">
      <alignment horizontal="center" vertical="center"/>
    </xf>
    <xf numFmtId="3" fontId="23" fillId="0" borderId="3" xfId="0" applyNumberFormat="1" applyFont="1" applyBorder="1" applyAlignment="1">
      <alignment horizontal="center" vertical="center"/>
    </xf>
    <xf numFmtId="3" fontId="24" fillId="0" borderId="2" xfId="0" applyNumberFormat="1" applyFont="1" applyBorder="1" applyAlignment="1">
      <alignment horizontal="center" vertical="center"/>
    </xf>
    <xf numFmtId="3" fontId="20" fillId="0" borderId="2" xfId="0" applyNumberFormat="1" applyFont="1" applyBorder="1" applyAlignment="1">
      <alignment horizontal="center" vertical="center"/>
    </xf>
    <xf numFmtId="3" fontId="20" fillId="0" borderId="3" xfId="0" applyNumberFormat="1" applyFont="1" applyBorder="1" applyAlignment="1">
      <alignment horizontal="center" vertical="center"/>
    </xf>
    <xf numFmtId="164" fontId="17" fillId="0" borderId="3" xfId="0" applyNumberFormat="1" applyFont="1" applyBorder="1" applyAlignment="1">
      <alignment horizontal="center" vertical="center"/>
    </xf>
    <xf numFmtId="3" fontId="22" fillId="0" borderId="2" xfId="0" applyNumberFormat="1" applyFont="1" applyBorder="1" applyAlignment="1">
      <alignment horizontal="center" vertical="center"/>
    </xf>
    <xf numFmtId="3" fontId="25" fillId="0" borderId="2" xfId="0" applyNumberFormat="1" applyFont="1" applyBorder="1" applyAlignment="1">
      <alignment horizontal="center" vertical="center"/>
    </xf>
    <xf numFmtId="3" fontId="25" fillId="0" borderId="3" xfId="0" applyNumberFormat="1" applyFont="1" applyBorder="1" applyAlignment="1">
      <alignment horizontal="center" vertical="center"/>
    </xf>
    <xf numFmtId="3" fontId="22" fillId="0" borderId="2" xfId="2" applyNumberFormat="1" applyFont="1" applyBorder="1" applyAlignment="1" applyProtection="1">
      <alignment horizontal="center" vertical="center"/>
    </xf>
    <xf numFmtId="3" fontId="25" fillId="0" borderId="2" xfId="2" applyNumberFormat="1" applyFont="1" applyBorder="1" applyAlignment="1" applyProtection="1">
      <alignment horizontal="center" vertical="center"/>
    </xf>
    <xf numFmtId="3" fontId="25" fillId="0" borderId="3" xfId="2" applyNumberFormat="1" applyFont="1" applyBorder="1" applyAlignment="1" applyProtection="1">
      <alignment horizontal="center" vertical="center"/>
    </xf>
    <xf numFmtId="3" fontId="26" fillId="0" borderId="2" xfId="0" applyNumberFormat="1" applyFont="1" applyBorder="1" applyAlignment="1">
      <alignment horizontal="center" vertical="center"/>
    </xf>
    <xf numFmtId="3" fontId="27" fillId="0" borderId="2" xfId="0" applyNumberFormat="1" applyFont="1" applyBorder="1" applyAlignment="1">
      <alignment horizontal="center" vertical="center"/>
    </xf>
    <xf numFmtId="3" fontId="27" fillId="0" borderId="3" xfId="0" applyNumberFormat="1" applyFont="1" applyBorder="1" applyAlignment="1">
      <alignment horizontal="center" vertical="center"/>
    </xf>
    <xf numFmtId="3" fontId="21" fillId="0" borderId="2" xfId="0" applyNumberFormat="1" applyFont="1" applyBorder="1" applyAlignment="1">
      <alignment horizontal="center" vertical="center"/>
    </xf>
    <xf numFmtId="3" fontId="21" fillId="0" borderId="3" xfId="0" applyNumberFormat="1" applyFont="1" applyBorder="1" applyAlignment="1">
      <alignment horizontal="center" vertical="center"/>
    </xf>
    <xf numFmtId="9" fontId="22" fillId="0" borderId="2" xfId="1" applyFont="1" applyBorder="1" applyAlignment="1" applyProtection="1">
      <alignment horizontal="center"/>
    </xf>
    <xf numFmtId="9" fontId="22" fillId="0" borderId="2" xfId="1" applyFont="1" applyBorder="1" applyAlignment="1">
      <alignment horizontal="center"/>
    </xf>
    <xf numFmtId="9" fontId="22" fillId="0" borderId="3" xfId="1" applyFont="1" applyBorder="1" applyAlignment="1">
      <alignment horizontal="center"/>
    </xf>
    <xf numFmtId="3" fontId="17" fillId="0" borderId="2" xfId="0" applyNumberFormat="1" applyFont="1" applyBorder="1" applyAlignment="1">
      <alignment horizontal="center"/>
    </xf>
    <xf numFmtId="3" fontId="17" fillId="0" borderId="3" xfId="0" applyNumberFormat="1" applyFont="1" applyBorder="1" applyAlignment="1">
      <alignment horizontal="center"/>
    </xf>
    <xf numFmtId="3" fontId="23" fillId="0" borderId="2" xfId="0" applyNumberFormat="1" applyFont="1" applyBorder="1" applyAlignment="1">
      <alignment horizontal="center"/>
    </xf>
    <xf numFmtId="3" fontId="23" fillId="0" borderId="3" xfId="0" applyNumberFormat="1" applyFont="1" applyBorder="1" applyAlignment="1">
      <alignment horizontal="center"/>
    </xf>
    <xf numFmtId="3" fontId="24" fillId="0" borderId="2" xfId="0" applyNumberFormat="1" applyFont="1" applyBorder="1" applyAlignment="1">
      <alignment horizontal="center"/>
    </xf>
    <xf numFmtId="3" fontId="20" fillId="0" borderId="2" xfId="0" applyNumberFormat="1" applyFont="1" applyBorder="1" applyAlignment="1">
      <alignment horizontal="center"/>
    </xf>
    <xf numFmtId="3" fontId="20" fillId="0" borderId="3" xfId="0" applyNumberFormat="1" applyFont="1" applyBorder="1" applyAlignment="1">
      <alignment horizontal="center"/>
    </xf>
    <xf numFmtId="164" fontId="17" fillId="0" borderId="3" xfId="0" applyNumberFormat="1" applyFont="1" applyBorder="1" applyAlignment="1">
      <alignment horizontal="center"/>
    </xf>
    <xf numFmtId="3" fontId="22" fillId="0" borderId="2" xfId="0" applyNumberFormat="1" applyFont="1" applyBorder="1" applyAlignment="1">
      <alignment horizontal="center"/>
    </xf>
    <xf numFmtId="3" fontId="25" fillId="0" borderId="2" xfId="0" applyNumberFormat="1" applyFont="1" applyBorder="1" applyAlignment="1">
      <alignment horizontal="center"/>
    </xf>
    <xf numFmtId="3" fontId="25" fillId="0" borderId="3" xfId="0" applyNumberFormat="1" applyFont="1" applyBorder="1" applyAlignment="1">
      <alignment horizontal="center"/>
    </xf>
    <xf numFmtId="3" fontId="22" fillId="0" borderId="2" xfId="2" applyNumberFormat="1" applyFont="1" applyBorder="1" applyAlignment="1" applyProtection="1">
      <alignment horizontal="center"/>
    </xf>
    <xf numFmtId="3" fontId="25" fillId="0" borderId="2" xfId="2" applyNumberFormat="1" applyFont="1" applyBorder="1" applyAlignment="1" applyProtection="1">
      <alignment horizontal="center"/>
    </xf>
    <xf numFmtId="3" fontId="25" fillId="0" borderId="3" xfId="2" applyNumberFormat="1" applyFont="1" applyBorder="1" applyAlignment="1" applyProtection="1">
      <alignment horizontal="center"/>
    </xf>
    <xf numFmtId="3" fontId="26" fillId="0" borderId="2" xfId="0" applyNumberFormat="1" applyFont="1" applyBorder="1" applyAlignment="1">
      <alignment horizontal="center"/>
    </xf>
    <xf numFmtId="3" fontId="27" fillId="0" borderId="2" xfId="0" applyNumberFormat="1" applyFont="1" applyBorder="1" applyAlignment="1">
      <alignment horizontal="center"/>
    </xf>
    <xf numFmtId="3" fontId="27" fillId="0" borderId="3" xfId="0" applyNumberFormat="1" applyFont="1" applyBorder="1" applyAlignment="1">
      <alignment horizontal="center"/>
    </xf>
    <xf numFmtId="3" fontId="21" fillId="0" borderId="2" xfId="0" applyNumberFormat="1" applyFont="1" applyBorder="1" applyAlignment="1">
      <alignment horizontal="center"/>
    </xf>
    <xf numFmtId="3" fontId="21" fillId="0" borderId="3" xfId="0" applyNumberFormat="1" applyFont="1" applyBorder="1" applyAlignment="1">
      <alignment horizontal="center"/>
    </xf>
    <xf numFmtId="0" fontId="18" fillId="0" borderId="11" xfId="0" applyFont="1" applyBorder="1"/>
    <xf numFmtId="0" fontId="24" fillId="0" borderId="2" xfId="0" applyFont="1" applyBorder="1" applyAlignment="1">
      <alignment horizontal="center"/>
    </xf>
    <xf numFmtId="0" fontId="17" fillId="0" borderId="1" xfId="0" applyFont="1" applyBorder="1" applyAlignment="1">
      <alignment horizontal="center"/>
    </xf>
    <xf numFmtId="0" fontId="17" fillId="0" borderId="2" xfId="0" applyFont="1" applyBorder="1" applyAlignment="1">
      <alignment horizontal="center"/>
    </xf>
    <xf numFmtId="0" fontId="17" fillId="0" borderId="1" xfId="0" applyFont="1" applyBorder="1" applyAlignment="1">
      <alignment horizontal="center" vertical="center"/>
    </xf>
    <xf numFmtId="9" fontId="18" fillId="0" borderId="0" xfId="0" applyNumberFormat="1" applyFont="1"/>
    <xf numFmtId="0" fontId="18" fillId="5" borderId="0" xfId="0" applyFont="1" applyFill="1"/>
    <xf numFmtId="0" fontId="18" fillId="7" borderId="0" xfId="0" applyFont="1" applyFill="1"/>
    <xf numFmtId="0" fontId="18" fillId="4" borderId="0" xfId="0" applyFont="1" applyFill="1"/>
    <xf numFmtId="9" fontId="18" fillId="5" borderId="0" xfId="0" applyNumberFormat="1" applyFont="1" applyFill="1"/>
    <xf numFmtId="0" fontId="17" fillId="5" borderId="0" xfId="0" applyFont="1" applyFill="1"/>
    <xf numFmtId="0" fontId="16" fillId="0" borderId="1" xfId="0" applyFont="1" applyBorder="1" applyAlignment="1">
      <alignment horizontal="center"/>
    </xf>
    <xf numFmtId="0" fontId="16" fillId="0" borderId="2" xfId="0" applyFont="1" applyBorder="1" applyAlignment="1">
      <alignment horizontal="center"/>
    </xf>
    <xf numFmtId="0" fontId="17" fillId="0" borderId="1" xfId="0" applyFont="1" applyBorder="1" applyAlignment="1">
      <alignment horizontal="center"/>
    </xf>
    <xf numFmtId="0" fontId="17" fillId="0" borderId="2" xfId="0" applyFont="1" applyBorder="1" applyAlignment="1">
      <alignment horizontal="center"/>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21" fillId="0" borderId="1" xfId="0" applyFont="1" applyBorder="1" applyAlignment="1">
      <alignment horizontal="center"/>
    </xf>
    <xf numFmtId="0" fontId="21" fillId="0" borderId="2" xfId="0" applyFont="1" applyBorder="1" applyAlignment="1">
      <alignment horizontal="center"/>
    </xf>
    <xf numFmtId="0" fontId="17" fillId="0" borderId="1" xfId="0" applyFont="1" applyBorder="1" applyAlignment="1">
      <alignment horizontal="left"/>
    </xf>
    <xf numFmtId="0" fontId="17" fillId="0" borderId="2" xfId="0" applyFont="1" applyBorder="1" applyAlignment="1">
      <alignment horizontal="left"/>
    </xf>
    <xf numFmtId="0" fontId="20" fillId="0" borderId="1" xfId="0" applyFont="1" applyBorder="1" applyAlignment="1">
      <alignment horizontal="center"/>
    </xf>
    <xf numFmtId="0" fontId="20" fillId="0" borderId="2" xfId="0" applyFont="1" applyBorder="1" applyAlignment="1">
      <alignment horizontal="center"/>
    </xf>
    <xf numFmtId="0" fontId="19" fillId="0" borderId="1" xfId="0" applyFont="1" applyBorder="1" applyAlignment="1">
      <alignment horizontal="center"/>
    </xf>
    <xf numFmtId="0" fontId="19" fillId="0" borderId="2" xfId="0" applyFont="1" applyBorder="1" applyAlignment="1">
      <alignment horizontal="center"/>
    </xf>
    <xf numFmtId="0" fontId="17" fillId="0" borderId="10" xfId="0" applyFont="1" applyBorder="1" applyAlignment="1">
      <alignment horizontal="center"/>
    </xf>
    <xf numFmtId="0" fontId="17" fillId="0" borderId="0" xfId="0" applyFont="1" applyAlignment="1">
      <alignment horizontal="center"/>
    </xf>
    <xf numFmtId="0" fontId="17" fillId="0" borderId="11" xfId="0" applyFont="1" applyBorder="1" applyAlignment="1">
      <alignment horizontal="center"/>
    </xf>
    <xf numFmtId="0" fontId="18" fillId="0" borderId="1" xfId="0" applyFont="1" applyBorder="1" applyAlignment="1">
      <alignment horizontal="center"/>
    </xf>
    <xf numFmtId="0" fontId="18" fillId="0" borderId="2" xfId="0" applyFont="1" applyBorder="1" applyAlignment="1">
      <alignment horizontal="center"/>
    </xf>
    <xf numFmtId="164" fontId="5" fillId="2" borderId="14" xfId="0" applyNumberFormat="1" applyFont="1" applyFill="1" applyBorder="1" applyAlignment="1">
      <alignment horizontal="center"/>
    </xf>
    <xf numFmtId="164" fontId="5" fillId="2" borderId="15" xfId="0" applyNumberFormat="1" applyFont="1" applyFill="1" applyBorder="1" applyAlignment="1">
      <alignment horizontal="center"/>
    </xf>
    <xf numFmtId="164" fontId="5" fillId="2" borderId="16" xfId="0" applyNumberFormat="1" applyFont="1" applyFill="1" applyBorder="1" applyAlignment="1">
      <alignment horizontal="center"/>
    </xf>
    <xf numFmtId="0" fontId="6" fillId="2" borderId="1" xfId="0" applyFont="1" applyFill="1" applyBorder="1" applyAlignment="1">
      <alignment horizontal="center"/>
    </xf>
    <xf numFmtId="0" fontId="6" fillId="2" borderId="12" xfId="0" applyFont="1" applyFill="1" applyBorder="1" applyAlignment="1">
      <alignment horizontal="center"/>
    </xf>
    <xf numFmtId="0" fontId="6" fillId="3" borderId="1" xfId="0" applyFont="1" applyFill="1" applyBorder="1" applyAlignment="1">
      <alignment horizontal="center"/>
    </xf>
    <xf numFmtId="0" fontId="6" fillId="3" borderId="12" xfId="0" applyFont="1" applyFill="1" applyBorder="1" applyAlignment="1">
      <alignment horizontal="center"/>
    </xf>
    <xf numFmtId="0" fontId="5" fillId="0" borderId="1" xfId="0" applyFont="1" applyBorder="1" applyAlignment="1">
      <alignment horizontal="center"/>
    </xf>
    <xf numFmtId="0" fontId="5" fillId="0" borderId="12" xfId="0" applyFont="1" applyBorder="1" applyAlignment="1">
      <alignment horizontal="center"/>
    </xf>
    <xf numFmtId="0" fontId="5" fillId="3" borderId="1" xfId="0" applyFont="1" applyFill="1" applyBorder="1" applyAlignment="1">
      <alignment horizontal="center" vertical="center"/>
    </xf>
    <xf numFmtId="0" fontId="5" fillId="3" borderId="12" xfId="0" applyFont="1" applyFill="1" applyBorder="1" applyAlignment="1">
      <alignment horizontal="center" vertical="center"/>
    </xf>
    <xf numFmtId="0" fontId="5" fillId="5" borderId="1" xfId="0" applyFont="1" applyFill="1" applyBorder="1" applyAlignment="1">
      <alignment horizontal="left"/>
    </xf>
    <xf numFmtId="0" fontId="5" fillId="5" borderId="12" xfId="0" applyFont="1" applyFill="1" applyBorder="1" applyAlignment="1">
      <alignment horizontal="left"/>
    </xf>
    <xf numFmtId="0" fontId="11" fillId="4" borderId="1" xfId="0" applyFont="1" applyFill="1" applyBorder="1" applyAlignment="1">
      <alignment horizontal="center"/>
    </xf>
    <xf numFmtId="0" fontId="11" fillId="4" borderId="12" xfId="0" applyFont="1" applyFill="1" applyBorder="1" applyAlignment="1">
      <alignment horizontal="center"/>
    </xf>
    <xf numFmtId="0" fontId="12" fillId="4" borderId="1" xfId="0" applyFont="1" applyFill="1" applyBorder="1" applyAlignment="1">
      <alignment horizontal="center"/>
    </xf>
    <xf numFmtId="0" fontId="12" fillId="4" borderId="12" xfId="0" applyFont="1" applyFill="1" applyBorder="1" applyAlignment="1">
      <alignment horizontal="center"/>
    </xf>
    <xf numFmtId="0" fontId="5" fillId="0" borderId="4" xfId="0" applyFont="1" applyBorder="1" applyAlignment="1">
      <alignment horizontal="center"/>
    </xf>
    <xf numFmtId="0" fontId="5" fillId="0" borderId="13" xfId="0" applyFont="1" applyBorder="1" applyAlignment="1">
      <alignment horizontal="center"/>
    </xf>
    <xf numFmtId="0" fontId="6" fillId="0" borderId="1" xfId="0" applyFont="1" applyBorder="1" applyAlignment="1">
      <alignment horizontal="center"/>
    </xf>
    <xf numFmtId="0" fontId="6" fillId="0" borderId="12" xfId="0" applyFont="1" applyBorder="1" applyAlignment="1">
      <alignment horizontal="center"/>
    </xf>
    <xf numFmtId="0" fontId="5" fillId="7" borderId="1" xfId="0" applyFont="1" applyFill="1" applyBorder="1" applyAlignment="1">
      <alignment horizontal="left"/>
    </xf>
    <xf numFmtId="0" fontId="5" fillId="7" borderId="12" xfId="0" applyFont="1" applyFill="1" applyBorder="1" applyAlignment="1">
      <alignment horizontal="left"/>
    </xf>
    <xf numFmtId="0" fontId="5" fillId="8" borderId="1" xfId="0" applyFont="1" applyFill="1" applyBorder="1" applyAlignment="1">
      <alignment horizontal="left"/>
    </xf>
    <xf numFmtId="0" fontId="5" fillId="8" borderId="12" xfId="0" applyFont="1" applyFill="1" applyBorder="1" applyAlignment="1">
      <alignment horizontal="left"/>
    </xf>
    <xf numFmtId="0" fontId="5" fillId="0" borderId="10" xfId="0" applyFont="1" applyBorder="1" applyAlignment="1">
      <alignment horizontal="center"/>
    </xf>
    <xf numFmtId="0" fontId="5" fillId="0" borderId="0" xfId="0" applyFont="1" applyAlignment="1">
      <alignment horizontal="center"/>
    </xf>
    <xf numFmtId="0" fontId="5" fillId="0" borderId="11" xfId="0" applyFont="1" applyBorder="1" applyAlignment="1">
      <alignment horizontal="center"/>
    </xf>
    <xf numFmtId="0" fontId="6" fillId="2" borderId="22" xfId="0" applyFont="1" applyFill="1" applyBorder="1" applyAlignment="1">
      <alignment horizontal="center"/>
    </xf>
    <xf numFmtId="0" fontId="6" fillId="2" borderId="23" xfId="0" applyFont="1" applyFill="1" applyBorder="1" applyAlignment="1">
      <alignment horizontal="center"/>
    </xf>
    <xf numFmtId="0" fontId="4" fillId="0" borderId="1" xfId="0" applyFont="1" applyBorder="1" applyAlignment="1">
      <alignment horizontal="center"/>
    </xf>
    <xf numFmtId="0" fontId="4" fillId="0" borderId="12" xfId="0" applyFont="1" applyBorder="1" applyAlignment="1">
      <alignment horizontal="center"/>
    </xf>
    <xf numFmtId="0" fontId="5" fillId="2" borderId="1" xfId="0" applyFont="1" applyFill="1" applyBorder="1" applyAlignment="1">
      <alignment horizontal="center"/>
    </xf>
    <xf numFmtId="0" fontId="5" fillId="2" borderId="12" xfId="0" applyFont="1" applyFill="1" applyBorder="1" applyAlignment="1">
      <alignment horizontal="center"/>
    </xf>
    <xf numFmtId="0" fontId="5" fillId="5" borderId="1" xfId="0" applyFont="1" applyFill="1" applyBorder="1" applyAlignment="1">
      <alignment horizontal="center"/>
    </xf>
    <xf numFmtId="0" fontId="5" fillId="5" borderId="12" xfId="0" applyFont="1" applyFill="1" applyBorder="1" applyAlignment="1">
      <alignment horizontal="center"/>
    </xf>
    <xf numFmtId="0" fontId="8" fillId="2" borderId="1" xfId="0" applyFont="1" applyFill="1" applyBorder="1" applyAlignment="1">
      <alignment horizontal="center"/>
    </xf>
    <xf numFmtId="0" fontId="8" fillId="2" borderId="12" xfId="0" applyFont="1" applyFill="1" applyBorder="1" applyAlignment="1">
      <alignment horizontal="center"/>
    </xf>
    <xf numFmtId="0" fontId="6" fillId="5" borderId="1" xfId="0" applyFont="1" applyFill="1" applyBorder="1" applyAlignment="1">
      <alignment horizontal="center"/>
    </xf>
    <xf numFmtId="0" fontId="6" fillId="5" borderId="12" xfId="0" applyFont="1" applyFill="1" applyBorder="1" applyAlignment="1">
      <alignment horizontal="center"/>
    </xf>
    <xf numFmtId="0" fontId="5" fillId="3" borderId="1" xfId="0" applyFont="1" applyFill="1" applyBorder="1" applyAlignment="1">
      <alignment horizontal="left"/>
    </xf>
    <xf numFmtId="0" fontId="5" fillId="3" borderId="12" xfId="0" applyFont="1" applyFill="1" applyBorder="1" applyAlignment="1">
      <alignment horizontal="left"/>
    </xf>
    <xf numFmtId="0" fontId="16" fillId="2" borderId="1" xfId="0" applyFont="1" applyFill="1" applyBorder="1" applyAlignment="1">
      <alignment horizontal="center"/>
    </xf>
    <xf numFmtId="0" fontId="16" fillId="2" borderId="12" xfId="0" applyFont="1" applyFill="1" applyBorder="1" applyAlignment="1">
      <alignment horizont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10" xfId="0" applyFont="1" applyBorder="1" applyAlignment="1">
      <alignment horizontal="center" vertical="center"/>
    </xf>
    <xf numFmtId="0" fontId="5" fillId="0" borderId="0" xfId="0" applyFont="1" applyAlignment="1">
      <alignment horizontal="center" vertical="center"/>
    </xf>
    <xf numFmtId="0" fontId="5" fillId="0" borderId="24" xfId="0" applyFont="1" applyBorder="1" applyAlignment="1">
      <alignment horizontal="center" vertical="center"/>
    </xf>
    <xf numFmtId="0" fontId="5" fillId="0" borderId="25" xfId="0" applyFont="1" applyBorder="1" applyAlignment="1">
      <alignment horizontal="center" vertical="center"/>
    </xf>
    <xf numFmtId="2" fontId="5" fillId="11" borderId="14" xfId="0" applyNumberFormat="1" applyFont="1" applyFill="1" applyBorder="1" applyAlignment="1">
      <alignment horizontal="center"/>
    </xf>
    <xf numFmtId="2" fontId="5" fillId="11" borderId="15" xfId="0" applyNumberFormat="1" applyFont="1" applyFill="1" applyBorder="1" applyAlignment="1">
      <alignment horizontal="center"/>
    </xf>
    <xf numFmtId="2" fontId="5" fillId="11" borderId="16" xfId="0" applyNumberFormat="1" applyFont="1" applyFill="1" applyBorder="1" applyAlignment="1">
      <alignment horizontal="center"/>
    </xf>
    <xf numFmtId="0" fontId="5" fillId="0" borderId="9" xfId="0" applyFont="1" applyBorder="1" applyAlignment="1">
      <alignment horizontal="center" vertical="center"/>
    </xf>
    <xf numFmtId="0" fontId="5" fillId="0" borderId="11" xfId="0" applyFont="1" applyBorder="1" applyAlignment="1">
      <alignment horizontal="center" vertical="center"/>
    </xf>
    <xf numFmtId="0" fontId="5" fillId="0" borderId="31" xfId="0" applyFont="1" applyBorder="1" applyAlignment="1">
      <alignment horizontal="center" vertical="center"/>
    </xf>
    <xf numFmtId="2" fontId="5" fillId="6" borderId="27" xfId="0" applyNumberFormat="1" applyFont="1" applyFill="1" applyBorder="1" applyAlignment="1">
      <alignment horizontal="center"/>
    </xf>
    <xf numFmtId="2" fontId="5" fillId="6" borderId="28" xfId="0" applyNumberFormat="1" applyFont="1" applyFill="1" applyBorder="1" applyAlignment="1">
      <alignment horizontal="center"/>
    </xf>
    <xf numFmtId="0" fontId="13" fillId="8" borderId="7" xfId="0" applyFont="1" applyFill="1" applyBorder="1" applyAlignment="1">
      <alignment horizontal="center"/>
    </xf>
    <xf numFmtId="0" fontId="13" fillId="8" borderId="9" xfId="0" applyFont="1" applyFill="1" applyBorder="1" applyAlignment="1">
      <alignment horizontal="center"/>
    </xf>
    <xf numFmtId="0" fontId="13" fillId="8" borderId="29" xfId="0" applyFont="1" applyFill="1" applyBorder="1" applyAlignment="1">
      <alignment horizontal="center"/>
    </xf>
    <xf numFmtId="0" fontId="13" fillId="8" borderId="30" xfId="0" applyFont="1" applyFill="1" applyBorder="1" applyAlignment="1">
      <alignment horizontal="center"/>
    </xf>
  </cellXfs>
  <cellStyles count="3">
    <cellStyle name="Excel Built-in Explanatory Text" xfId="2" xr:uid="{00000000-0005-0000-0000-000006000000}"/>
    <cellStyle name="Normal" xfId="0" builtinId="0"/>
    <cellStyle name="Percent" xfId="1" builtinId="5"/>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70AD47"/>
      <rgbColor rgb="FF800080"/>
      <rgbColor rgb="FF009900"/>
      <rgbColor rgb="FFBFBFBF"/>
      <rgbColor rgb="FF8B8B8B"/>
      <rgbColor rgb="FF5B9BD5"/>
      <rgbColor rgb="FFFF3333"/>
      <rgbColor rgb="FFF2F2F2"/>
      <rgbColor rgb="FFEEEEEE"/>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4472C4"/>
      <rgbColor rgb="FF33CCCC"/>
      <rgbColor rgb="FF9BBB59"/>
      <rgbColor rgb="FFFFC000"/>
      <rgbColor rgb="FFFF9900"/>
      <rgbColor rgb="FFED7D31"/>
      <rgbColor rgb="FF595959"/>
      <rgbColor rgb="FFA5A5A5"/>
      <rgbColor rgb="FF003366"/>
      <rgbColor rgb="FF00B050"/>
      <rgbColor rgb="FF003300"/>
      <rgbColor rgb="FF333300"/>
      <rgbColor rgb="FF993300"/>
      <rgbColor rgb="FF993366"/>
      <rgbColor rgb="FF333399"/>
      <rgbColor rgb="FF404040"/>
      <rgbColor rgb="00003366"/>
      <rgbColor rgb="00339966"/>
      <rgbColor rgb="00003300"/>
      <rgbColor rgb="00333300"/>
      <rgbColor rgb="00993300"/>
      <rgbColor rgb="00993366"/>
      <rgbColor rgb="00333399"/>
      <rgbColor rgb="00333333"/>
    </indexedColors>
    <mruColors>
      <color rgb="FFB4E4CE"/>
      <color rgb="FFFF99FF"/>
      <color rgb="FF66FFFF"/>
      <color rgb="FFFFCCFF"/>
      <color rgb="FF00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13</xdr:col>
      <xdr:colOff>487680</xdr:colOff>
      <xdr:row>0</xdr:row>
      <xdr:rowOff>0</xdr:rowOff>
    </xdr:from>
    <xdr:to>
      <xdr:col>16</xdr:col>
      <xdr:colOff>68580</xdr:colOff>
      <xdr:row>11</xdr:row>
      <xdr:rowOff>53340</xdr:rowOff>
    </xdr:to>
    <xdr:pic>
      <xdr:nvPicPr>
        <xdr:cNvPr id="2" name="Picture 2" descr="ACSA">
          <a:extLst>
            <a:ext uri="{FF2B5EF4-FFF2-40B4-BE49-F238E27FC236}">
              <a16:creationId xmlns:a16="http://schemas.microsoft.com/office/drawing/2014/main" id="{200FFD62-3309-40A3-803B-C6DFAEF44C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1906" t="-4375" r="-1573" b="40959"/>
        <a:stretch>
          <a:fillRect/>
        </a:stretch>
      </xdr:blipFill>
      <xdr:spPr bwMode="auto">
        <a:xfrm>
          <a:off x="11353800" y="0"/>
          <a:ext cx="1866900" cy="10439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472440</xdr:colOff>
      <xdr:row>72</xdr:row>
      <xdr:rowOff>68580</xdr:rowOff>
    </xdr:from>
    <xdr:to>
      <xdr:col>16</xdr:col>
      <xdr:colOff>53340</xdr:colOff>
      <xdr:row>83</xdr:row>
      <xdr:rowOff>83820</xdr:rowOff>
    </xdr:to>
    <xdr:pic>
      <xdr:nvPicPr>
        <xdr:cNvPr id="3" name="Picture 2" descr="ACSA">
          <a:extLst>
            <a:ext uri="{FF2B5EF4-FFF2-40B4-BE49-F238E27FC236}">
              <a16:creationId xmlns:a16="http://schemas.microsoft.com/office/drawing/2014/main" id="{5D08CF6A-E905-4001-B8D1-D3C5080EC5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71906" t="-4375" r="-1573" b="40959"/>
        <a:stretch>
          <a:fillRect/>
        </a:stretch>
      </xdr:blipFill>
      <xdr:spPr bwMode="auto">
        <a:xfrm>
          <a:off x="11338560" y="7299960"/>
          <a:ext cx="1866900" cy="10210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708660</xdr:colOff>
      <xdr:row>145</xdr:row>
      <xdr:rowOff>42333</xdr:rowOff>
    </xdr:from>
    <xdr:to>
      <xdr:col>16</xdr:col>
      <xdr:colOff>17019</xdr:colOff>
      <xdr:row>153</xdr:row>
      <xdr:rowOff>91441</xdr:rowOff>
    </xdr:to>
    <xdr:pic>
      <xdr:nvPicPr>
        <xdr:cNvPr id="4" name="Picture 2" descr="ACSA">
          <a:extLst>
            <a:ext uri="{FF2B5EF4-FFF2-40B4-BE49-F238E27FC236}">
              <a16:creationId xmlns:a16="http://schemas.microsoft.com/office/drawing/2014/main" id="{D1C497CD-447D-462E-B6BA-ADC1E5466D4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71906" t="-4375" r="-1573" b="40959"/>
        <a:stretch>
          <a:fillRect/>
        </a:stretch>
      </xdr:blipFill>
      <xdr:spPr bwMode="auto">
        <a:xfrm>
          <a:off x="11579860" y="16780933"/>
          <a:ext cx="1594359" cy="8619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541020</xdr:colOff>
      <xdr:row>216</xdr:row>
      <xdr:rowOff>67732</xdr:rowOff>
    </xdr:from>
    <xdr:to>
      <xdr:col>16</xdr:col>
      <xdr:colOff>38100</xdr:colOff>
      <xdr:row>224</xdr:row>
      <xdr:rowOff>76198</xdr:rowOff>
    </xdr:to>
    <xdr:pic>
      <xdr:nvPicPr>
        <xdr:cNvPr id="5" name="Picture 2" descr="ACSA">
          <a:extLst>
            <a:ext uri="{FF2B5EF4-FFF2-40B4-BE49-F238E27FC236}">
              <a16:creationId xmlns:a16="http://schemas.microsoft.com/office/drawing/2014/main" id="{C201E2DF-9877-4B85-A5D5-4F4E653497E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71906" t="-4375" r="-1573" b="40959"/>
        <a:stretch>
          <a:fillRect/>
        </a:stretch>
      </xdr:blipFill>
      <xdr:spPr bwMode="auto">
        <a:xfrm>
          <a:off x="11412220" y="25069799"/>
          <a:ext cx="1783080" cy="9397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487680</xdr:colOff>
      <xdr:row>286</xdr:row>
      <xdr:rowOff>42333</xdr:rowOff>
    </xdr:from>
    <xdr:to>
      <xdr:col>16</xdr:col>
      <xdr:colOff>68580</xdr:colOff>
      <xdr:row>297</xdr:row>
      <xdr:rowOff>30480</xdr:rowOff>
    </xdr:to>
    <xdr:pic>
      <xdr:nvPicPr>
        <xdr:cNvPr id="6" name="Picture 2" descr="ACSA">
          <a:extLst>
            <a:ext uri="{FF2B5EF4-FFF2-40B4-BE49-F238E27FC236}">
              <a16:creationId xmlns:a16="http://schemas.microsoft.com/office/drawing/2014/main" id="{663D4EEB-16C2-424E-835D-D1FE2A39DF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1906" t="-4375" r="-1573" b="40959"/>
        <a:stretch>
          <a:fillRect/>
        </a:stretch>
      </xdr:blipFill>
      <xdr:spPr bwMode="auto">
        <a:xfrm>
          <a:off x="11358880" y="33324800"/>
          <a:ext cx="1866900" cy="1122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426720</xdr:colOff>
      <xdr:row>358</xdr:row>
      <xdr:rowOff>25400</xdr:rowOff>
    </xdr:from>
    <xdr:to>
      <xdr:col>16</xdr:col>
      <xdr:colOff>7620</xdr:colOff>
      <xdr:row>368</xdr:row>
      <xdr:rowOff>91440</xdr:rowOff>
    </xdr:to>
    <xdr:pic>
      <xdr:nvPicPr>
        <xdr:cNvPr id="7" name="Picture 2" descr="ACSA">
          <a:extLst>
            <a:ext uri="{FF2B5EF4-FFF2-40B4-BE49-F238E27FC236}">
              <a16:creationId xmlns:a16="http://schemas.microsoft.com/office/drawing/2014/main" id="{699120B8-0F08-4C44-A8EF-6E59337005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1906" t="-4375" r="-1573" b="40959"/>
        <a:stretch>
          <a:fillRect/>
        </a:stretch>
      </xdr:blipFill>
      <xdr:spPr bwMode="auto">
        <a:xfrm>
          <a:off x="11297920" y="41672933"/>
          <a:ext cx="1866900" cy="10820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426720</xdr:colOff>
      <xdr:row>430</xdr:row>
      <xdr:rowOff>59266</xdr:rowOff>
    </xdr:from>
    <xdr:to>
      <xdr:col>16</xdr:col>
      <xdr:colOff>7620</xdr:colOff>
      <xdr:row>440</xdr:row>
      <xdr:rowOff>91439</xdr:rowOff>
    </xdr:to>
    <xdr:pic>
      <xdr:nvPicPr>
        <xdr:cNvPr id="8" name="Picture 2" descr="ACSA">
          <a:extLst>
            <a:ext uri="{FF2B5EF4-FFF2-40B4-BE49-F238E27FC236}">
              <a16:creationId xmlns:a16="http://schemas.microsoft.com/office/drawing/2014/main" id="{87C2392C-2678-44C0-8419-667C3F8A01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1906" t="-4375" r="-1573" b="40959"/>
        <a:stretch>
          <a:fillRect/>
        </a:stretch>
      </xdr:blipFill>
      <xdr:spPr bwMode="auto">
        <a:xfrm>
          <a:off x="11297920" y="50071866"/>
          <a:ext cx="1866900" cy="10481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3024187</xdr:colOff>
      <xdr:row>0</xdr:row>
      <xdr:rowOff>0</xdr:rowOff>
    </xdr:from>
    <xdr:to>
      <xdr:col>5</xdr:col>
      <xdr:colOff>39688</xdr:colOff>
      <xdr:row>10</xdr:row>
      <xdr:rowOff>51679</xdr:rowOff>
    </xdr:to>
    <xdr:pic>
      <xdr:nvPicPr>
        <xdr:cNvPr id="2" name="Picture 2" descr="ACSA">
          <a:extLst>
            <a:ext uri="{FF2B5EF4-FFF2-40B4-BE49-F238E27FC236}">
              <a16:creationId xmlns:a16="http://schemas.microsoft.com/office/drawing/2014/main" id="{8FFFBD6D-A94F-41E9-BB0F-E8B6E6993C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1906" t="-4375" r="-1573" b="40959"/>
        <a:stretch>
          <a:fillRect/>
        </a:stretch>
      </xdr:blipFill>
      <xdr:spPr bwMode="auto">
        <a:xfrm>
          <a:off x="5905500" y="0"/>
          <a:ext cx="1690688" cy="10041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BECAE-0BFA-47E0-A346-C045357FBB84}">
  <sheetPr>
    <pageSetUpPr fitToPage="1"/>
  </sheetPr>
  <dimension ref="A1:T502"/>
  <sheetViews>
    <sheetView showGridLines="0" view="pageBreakPreview" topLeftCell="A479" zoomScale="70" zoomScaleNormal="70" zoomScaleSheetLayoutView="70" workbookViewId="0">
      <selection activeCell="G494" sqref="G494"/>
    </sheetView>
  </sheetViews>
  <sheetFormatPr defaultColWidth="8.75" defaultRowHeight="11.25"/>
  <cols>
    <col min="1" max="1" width="12.5" style="223" customWidth="1"/>
    <col min="2" max="2" width="20.125" style="223" customWidth="1"/>
    <col min="3" max="14" width="10" style="223" customWidth="1"/>
    <col min="15" max="16" width="10" style="249" customWidth="1"/>
    <col min="17" max="27" width="12.625" style="223" customWidth="1"/>
    <col min="28" max="1026" width="10.625" style="223" customWidth="1"/>
    <col min="1027" max="16384" width="8.75" style="223"/>
  </cols>
  <sheetData>
    <row r="1" spans="1:17" ht="7.9" customHeight="1">
      <c r="A1" s="239"/>
      <c r="B1" s="240"/>
      <c r="C1" s="240"/>
      <c r="D1" s="240"/>
      <c r="E1" s="240"/>
      <c r="F1" s="240"/>
      <c r="G1" s="240"/>
      <c r="H1" s="240"/>
      <c r="I1" s="240"/>
      <c r="J1" s="240"/>
      <c r="K1" s="240"/>
      <c r="L1" s="240"/>
      <c r="M1" s="240"/>
      <c r="N1" s="240"/>
      <c r="O1" s="247"/>
      <c r="P1" s="248"/>
    </row>
    <row r="2" spans="1:17" ht="7.9" customHeight="1">
      <c r="A2" s="241"/>
      <c r="P2" s="250"/>
    </row>
    <row r="3" spans="1:17" ht="7.9" customHeight="1">
      <c r="A3" s="241"/>
      <c r="P3" s="250"/>
    </row>
    <row r="4" spans="1:17" ht="7.9" customHeight="1">
      <c r="A4" s="329" t="s">
        <v>0</v>
      </c>
      <c r="B4" s="330"/>
      <c r="C4" s="330"/>
      <c r="D4" s="330"/>
      <c r="E4" s="330"/>
      <c r="F4" s="330"/>
      <c r="G4" s="330"/>
      <c r="H4" s="330"/>
      <c r="I4" s="330"/>
      <c r="J4" s="330"/>
      <c r="K4" s="330"/>
      <c r="L4" s="330"/>
      <c r="M4" s="330"/>
      <c r="N4" s="330"/>
      <c r="O4" s="330"/>
      <c r="P4" s="331"/>
    </row>
    <row r="5" spans="1:17" ht="7.9" customHeight="1">
      <c r="A5" s="242"/>
      <c r="B5" s="222"/>
      <c r="C5" s="222"/>
      <c r="D5" s="222"/>
      <c r="E5" s="222"/>
      <c r="F5" s="222"/>
      <c r="G5" s="222"/>
      <c r="H5" s="222"/>
      <c r="I5" s="222"/>
      <c r="J5" s="222"/>
      <c r="K5" s="222"/>
      <c r="L5" s="222"/>
      <c r="M5" s="222"/>
      <c r="N5" s="222"/>
      <c r="O5" s="223"/>
      <c r="P5" s="251"/>
    </row>
    <row r="6" spans="1:17" ht="7.9" customHeight="1">
      <c r="A6" s="329" t="s">
        <v>1</v>
      </c>
      <c r="B6" s="330"/>
      <c r="C6" s="330"/>
      <c r="D6" s="330"/>
      <c r="E6" s="330"/>
      <c r="F6" s="330"/>
      <c r="G6" s="330"/>
      <c r="H6" s="330"/>
      <c r="I6" s="330"/>
      <c r="J6" s="330"/>
      <c r="K6" s="330"/>
      <c r="L6" s="330"/>
      <c r="M6" s="330"/>
      <c r="N6" s="330"/>
      <c r="O6" s="330"/>
      <c r="P6" s="331"/>
    </row>
    <row r="7" spans="1:17" ht="7.9" customHeight="1">
      <c r="A7" s="243"/>
      <c r="B7" s="244"/>
      <c r="C7" s="244"/>
      <c r="D7" s="244"/>
      <c r="E7" s="244"/>
      <c r="F7" s="244"/>
      <c r="G7" s="244"/>
      <c r="H7" s="244"/>
      <c r="I7" s="244"/>
      <c r="J7" s="244"/>
      <c r="K7" s="244"/>
      <c r="L7" s="244"/>
      <c r="M7" s="244"/>
      <c r="N7" s="244"/>
      <c r="O7" s="244"/>
      <c r="P7" s="251"/>
    </row>
    <row r="8" spans="1:17" ht="7.9" customHeight="1">
      <c r="A8" s="241"/>
      <c r="P8" s="250"/>
    </row>
    <row r="9" spans="1:17" ht="7.9" customHeight="1">
      <c r="A9" s="241"/>
      <c r="P9" s="250"/>
    </row>
    <row r="10" spans="1:17" ht="7.9" customHeight="1">
      <c r="A10" s="241"/>
      <c r="P10" s="250"/>
    </row>
    <row r="11" spans="1:17" ht="10.15" customHeight="1">
      <c r="A11" s="315"/>
      <c r="B11" s="316"/>
      <c r="C11" s="252">
        <v>42475</v>
      </c>
      <c r="D11" s="252">
        <v>42505</v>
      </c>
      <c r="E11" s="252">
        <v>42536</v>
      </c>
      <c r="F11" s="252">
        <v>42566</v>
      </c>
      <c r="G11" s="252">
        <v>42597</v>
      </c>
      <c r="H11" s="252">
        <v>42628</v>
      </c>
      <c r="I11" s="252">
        <v>42658</v>
      </c>
      <c r="J11" s="252">
        <v>42689</v>
      </c>
      <c r="K11" s="252">
        <v>42719</v>
      </c>
      <c r="L11" s="252">
        <v>42750</v>
      </c>
      <c r="M11" s="252">
        <v>42781</v>
      </c>
      <c r="N11" s="252">
        <v>42809</v>
      </c>
      <c r="O11" s="307" t="s">
        <v>2</v>
      </c>
      <c r="P11" s="253" t="s">
        <v>3</v>
      </c>
    </row>
    <row r="12" spans="1:17" ht="10.15" customHeight="1">
      <c r="A12" s="332"/>
      <c r="B12" s="333"/>
      <c r="C12" s="254"/>
      <c r="D12" s="254"/>
      <c r="E12" s="254"/>
      <c r="F12" s="254"/>
      <c r="G12" s="254"/>
      <c r="H12" s="254"/>
      <c r="I12" s="254"/>
      <c r="J12" s="254"/>
      <c r="K12" s="254"/>
      <c r="L12" s="254"/>
      <c r="M12" s="254"/>
      <c r="N12" s="254"/>
      <c r="O12" s="255"/>
      <c r="P12" s="256"/>
    </row>
    <row r="13" spans="1:17" ht="10.15" customHeight="1">
      <c r="A13" s="317" t="s">
        <v>4</v>
      </c>
      <c r="B13" s="318"/>
      <c r="C13" s="257">
        <f>C68/C72</f>
        <v>0.37429227733022746</v>
      </c>
      <c r="D13" s="257">
        <f t="shared" ref="D13:J13" si="0">D68/D72</f>
        <v>0.33344765865317627</v>
      </c>
      <c r="E13" s="257">
        <f t="shared" si="0"/>
        <v>0.45419403799179453</v>
      </c>
      <c r="F13" s="257">
        <f t="shared" si="0"/>
        <v>0.3134471112173835</v>
      </c>
      <c r="G13" s="257">
        <f t="shared" si="0"/>
        <v>0.3996080331189994</v>
      </c>
      <c r="H13" s="257">
        <f t="shared" si="0"/>
        <v>0.41170840644440898</v>
      </c>
      <c r="I13" s="257">
        <f t="shared" si="0"/>
        <v>0.39488967418593857</v>
      </c>
      <c r="J13" s="257">
        <f t="shared" si="0"/>
        <v>0.39808895767444991</v>
      </c>
      <c r="K13" s="257">
        <f>K68/K72</f>
        <v>0.24707266960563323</v>
      </c>
      <c r="L13" s="257">
        <f>L68/L72</f>
        <v>0.28086886225440233</v>
      </c>
      <c r="M13" s="257">
        <f>M68/M72</f>
        <v>0.31130597059562404</v>
      </c>
      <c r="N13" s="257">
        <f>N68/N72</f>
        <v>0.33982339847858523</v>
      </c>
      <c r="O13" s="258">
        <f>AVERAGE(C13:N13)</f>
        <v>0.35489558812921862</v>
      </c>
      <c r="P13" s="259">
        <f>AVERAGE(C13:N13)</f>
        <v>0.35489558812921862</v>
      </c>
      <c r="Q13" s="309"/>
    </row>
    <row r="14" spans="1:17" ht="10.15" customHeight="1">
      <c r="A14" s="317" t="s">
        <v>5</v>
      </c>
      <c r="B14" s="318"/>
      <c r="C14" s="257">
        <f>C30/C16</f>
        <v>0.62570772266977259</v>
      </c>
      <c r="D14" s="257">
        <f t="shared" ref="D14:J14" si="1">D30/D16</f>
        <v>0.66655234134682373</v>
      </c>
      <c r="E14" s="257">
        <f t="shared" si="1"/>
        <v>0.54580596200820541</v>
      </c>
      <c r="F14" s="257">
        <f t="shared" si="1"/>
        <v>0.68655288878261644</v>
      </c>
      <c r="G14" s="257">
        <f t="shared" si="1"/>
        <v>0.6003919668810006</v>
      </c>
      <c r="H14" s="257">
        <f t="shared" si="1"/>
        <v>0.58829159355559102</v>
      </c>
      <c r="I14" s="257">
        <f t="shared" si="1"/>
        <v>0.60511032581406143</v>
      </c>
      <c r="J14" s="257">
        <f t="shared" si="1"/>
        <v>0.60191104232555015</v>
      </c>
      <c r="K14" s="257">
        <f>K30/K16</f>
        <v>0.75292733039436677</v>
      </c>
      <c r="L14" s="257">
        <f>L30/L16</f>
        <v>0.71913113774559767</v>
      </c>
      <c r="M14" s="257">
        <f>M30/M16</f>
        <v>0.68869402940437596</v>
      </c>
      <c r="N14" s="257">
        <f>N30/N16</f>
        <v>0.66017660152141477</v>
      </c>
      <c r="O14" s="258">
        <f>AVERAGE(C14:N14)</f>
        <v>0.64510441187078149</v>
      </c>
      <c r="P14" s="259">
        <f>AVERAGE(C14:N14)</f>
        <v>0.64510441187078149</v>
      </c>
    </row>
    <row r="15" spans="1:17" ht="10.15" customHeight="1">
      <c r="A15" s="306"/>
      <c r="B15" s="307"/>
      <c r="C15" s="260"/>
      <c r="D15" s="260"/>
      <c r="E15" s="260"/>
      <c r="F15" s="260"/>
      <c r="G15" s="260"/>
      <c r="H15" s="260"/>
      <c r="I15" s="260"/>
      <c r="J15" s="260"/>
      <c r="K15" s="260"/>
      <c r="L15" s="260"/>
      <c r="M15" s="260"/>
      <c r="N15" s="260"/>
      <c r="O15" s="260"/>
      <c r="P15" s="261"/>
    </row>
    <row r="16" spans="1:17" s="222" customFormat="1" ht="10.15" customHeight="1">
      <c r="A16" s="317" t="s">
        <v>6</v>
      </c>
      <c r="B16" s="318"/>
      <c r="C16" s="262">
        <f t="shared" ref="C16:N16" si="2">C72</f>
        <v>92727</v>
      </c>
      <c r="D16" s="262">
        <f t="shared" si="2"/>
        <v>93301</v>
      </c>
      <c r="E16" s="262">
        <f t="shared" si="2"/>
        <v>84334</v>
      </c>
      <c r="F16" s="262">
        <f t="shared" si="2"/>
        <v>100371</v>
      </c>
      <c r="G16" s="262">
        <f t="shared" si="2"/>
        <v>90824</v>
      </c>
      <c r="H16" s="262">
        <f t="shared" si="2"/>
        <v>94035</v>
      </c>
      <c r="I16" s="262">
        <f t="shared" si="2"/>
        <v>105551</v>
      </c>
      <c r="J16" s="262">
        <f t="shared" si="2"/>
        <v>89166</v>
      </c>
      <c r="K16" s="262">
        <f t="shared" si="2"/>
        <v>100262</v>
      </c>
      <c r="L16" s="262">
        <f t="shared" si="2"/>
        <v>85353</v>
      </c>
      <c r="M16" s="262">
        <f t="shared" si="2"/>
        <v>83593</v>
      </c>
      <c r="N16" s="262">
        <f t="shared" si="2"/>
        <v>81766</v>
      </c>
      <c r="O16" s="262">
        <f>SUM(C16:N16)</f>
        <v>1101283</v>
      </c>
      <c r="P16" s="263">
        <f>O16/12</f>
        <v>91773.583333333328</v>
      </c>
    </row>
    <row r="17" spans="1:16" ht="10.15" customHeight="1">
      <c r="A17" s="317"/>
      <c r="B17" s="318"/>
      <c r="C17" s="260"/>
      <c r="D17" s="260"/>
      <c r="E17" s="260"/>
      <c r="F17" s="260"/>
      <c r="G17" s="260"/>
      <c r="H17" s="260"/>
      <c r="I17" s="260"/>
      <c r="J17" s="260"/>
      <c r="K17" s="260"/>
      <c r="L17" s="260"/>
      <c r="M17" s="260"/>
      <c r="N17" s="260"/>
      <c r="O17" s="260"/>
      <c r="P17" s="261"/>
    </row>
    <row r="18" spans="1:16" ht="10.15" customHeight="1">
      <c r="A18" s="327" t="s">
        <v>7</v>
      </c>
      <c r="B18" s="328"/>
      <c r="C18" s="264"/>
      <c r="D18" s="264"/>
      <c r="E18" s="264"/>
      <c r="F18" s="264"/>
      <c r="G18" s="264"/>
      <c r="H18" s="264"/>
      <c r="I18" s="264"/>
      <c r="J18" s="264"/>
      <c r="K18" s="264"/>
      <c r="L18" s="264"/>
      <c r="M18" s="264"/>
      <c r="N18" s="264"/>
      <c r="O18" s="262"/>
      <c r="P18" s="263"/>
    </row>
    <row r="19" spans="1:16" s="310" customFormat="1" ht="10.15" customHeight="1">
      <c r="A19" s="315"/>
      <c r="B19" s="316"/>
      <c r="C19" s="260"/>
      <c r="D19" s="260"/>
      <c r="E19" s="260"/>
      <c r="F19" s="260"/>
      <c r="G19" s="260"/>
      <c r="H19" s="260"/>
      <c r="I19" s="260"/>
      <c r="J19" s="260"/>
      <c r="K19" s="260"/>
      <c r="L19" s="260"/>
      <c r="M19" s="260"/>
      <c r="N19" s="260"/>
      <c r="O19" s="260"/>
      <c r="P19" s="261"/>
    </row>
    <row r="20" spans="1:16" ht="10.15" customHeight="1">
      <c r="A20" s="323" t="s">
        <v>8</v>
      </c>
      <c r="B20" s="324"/>
      <c r="C20" s="260"/>
      <c r="D20" s="260"/>
      <c r="E20" s="260"/>
      <c r="F20" s="260"/>
      <c r="G20" s="260"/>
      <c r="H20" s="260"/>
      <c r="I20" s="260"/>
      <c r="J20" s="260"/>
      <c r="K20" s="260"/>
      <c r="L20" s="260"/>
      <c r="M20" s="260"/>
      <c r="N20" s="260"/>
      <c r="O20" s="260"/>
      <c r="P20" s="261"/>
    </row>
    <row r="21" spans="1:16" s="310" customFormat="1" ht="10.15" customHeight="1">
      <c r="A21" s="323" t="s">
        <v>9</v>
      </c>
      <c r="B21" s="324"/>
      <c r="C21" s="265">
        <v>49780</v>
      </c>
      <c r="D21" s="265">
        <v>54460</v>
      </c>
      <c r="E21" s="265">
        <v>40000</v>
      </c>
      <c r="F21" s="265">
        <v>61500</v>
      </c>
      <c r="G21" s="265">
        <v>47280</v>
      </c>
      <c r="H21" s="265">
        <v>46340</v>
      </c>
      <c r="I21" s="265">
        <v>56720</v>
      </c>
      <c r="J21" s="265">
        <v>48700</v>
      </c>
      <c r="K21" s="265">
        <v>64920</v>
      </c>
      <c r="L21" s="265">
        <v>55680</v>
      </c>
      <c r="M21" s="265">
        <v>51680</v>
      </c>
      <c r="N21" s="265">
        <v>48220</v>
      </c>
      <c r="O21" s="265">
        <f>SUM(C21:N21)</f>
        <v>625280</v>
      </c>
      <c r="P21" s="266">
        <f>O21/12</f>
        <v>52106.666666666664</v>
      </c>
    </row>
    <row r="22" spans="1:16" s="311" customFormat="1" ht="10.15" customHeight="1">
      <c r="A22" s="323"/>
      <c r="B22" s="324"/>
      <c r="C22" s="265"/>
      <c r="D22" s="265"/>
      <c r="E22" s="265"/>
      <c r="F22" s="265"/>
      <c r="G22" s="265"/>
      <c r="H22" s="265"/>
      <c r="I22" s="265"/>
      <c r="J22" s="265"/>
      <c r="K22" s="265"/>
      <c r="L22" s="265"/>
      <c r="M22" s="265"/>
      <c r="N22" s="265"/>
      <c r="O22" s="265"/>
      <c r="P22" s="266"/>
    </row>
    <row r="23" spans="1:16" s="310" customFormat="1" ht="10.15" customHeight="1">
      <c r="A23" s="323" t="s">
        <v>10</v>
      </c>
      <c r="B23" s="324"/>
      <c r="C23" s="265"/>
      <c r="D23" s="265"/>
      <c r="E23" s="265"/>
      <c r="F23" s="265"/>
      <c r="G23" s="265"/>
      <c r="H23" s="265"/>
      <c r="I23" s="265"/>
      <c r="J23" s="265"/>
      <c r="K23" s="265"/>
      <c r="L23" s="265"/>
      <c r="M23" s="265"/>
      <c r="N23" s="265"/>
      <c r="O23" s="265"/>
      <c r="P23" s="266"/>
    </row>
    <row r="24" spans="1:16" s="310" customFormat="1" ht="10.15" customHeight="1">
      <c r="A24" s="323" t="s">
        <v>11</v>
      </c>
      <c r="B24" s="324"/>
      <c r="C24" s="267">
        <v>8240</v>
      </c>
      <c r="D24" s="267">
        <v>7730</v>
      </c>
      <c r="E24" s="267">
        <v>6030</v>
      </c>
      <c r="F24" s="267">
        <v>7410</v>
      </c>
      <c r="G24" s="267">
        <v>6850</v>
      </c>
      <c r="H24" s="267">
        <v>6890</v>
      </c>
      <c r="I24" s="267">
        <v>7150</v>
      </c>
      <c r="J24" s="267">
        <v>4970</v>
      </c>
      <c r="K24" s="267">
        <v>10570</v>
      </c>
      <c r="L24" s="267">
        <v>5700</v>
      </c>
      <c r="M24" s="267">
        <v>5890</v>
      </c>
      <c r="N24" s="267">
        <v>5760</v>
      </c>
      <c r="O24" s="265">
        <f>SUM(C24:N24)</f>
        <v>83190</v>
      </c>
      <c r="P24" s="266">
        <f>O24/12</f>
        <v>6932.5</v>
      </c>
    </row>
    <row r="25" spans="1:16" s="310" customFormat="1" ht="10.15" customHeight="1">
      <c r="A25" s="323" t="s">
        <v>12</v>
      </c>
      <c r="B25" s="324"/>
      <c r="C25" s="267">
        <v>0</v>
      </c>
      <c r="D25" s="267">
        <v>0</v>
      </c>
      <c r="E25" s="267">
        <v>0</v>
      </c>
      <c r="F25" s="267">
        <v>0</v>
      </c>
      <c r="G25" s="267">
        <v>0</v>
      </c>
      <c r="H25" s="267">
        <v>0</v>
      </c>
      <c r="I25" s="267">
        <v>0</v>
      </c>
      <c r="J25" s="267">
        <v>0</v>
      </c>
      <c r="K25" s="267">
        <v>0</v>
      </c>
      <c r="L25" s="267">
        <v>0</v>
      </c>
      <c r="M25" s="267">
        <v>0</v>
      </c>
      <c r="N25" s="267">
        <v>0</v>
      </c>
      <c r="O25" s="265">
        <f>SUM(C25:N25)</f>
        <v>0</v>
      </c>
      <c r="P25" s="266">
        <f>O25/12</f>
        <v>0</v>
      </c>
    </row>
    <row r="26" spans="1:16" s="310" customFormat="1" ht="10.15" customHeight="1">
      <c r="A26" s="323" t="s">
        <v>13</v>
      </c>
      <c r="B26" s="324"/>
      <c r="C26" s="267">
        <v>0</v>
      </c>
      <c r="D26" s="267">
        <v>0</v>
      </c>
      <c r="E26" s="267">
        <v>0</v>
      </c>
      <c r="F26" s="267">
        <v>0</v>
      </c>
      <c r="G26" s="267">
        <v>0</v>
      </c>
      <c r="H26" s="267">
        <v>0</v>
      </c>
      <c r="I26" s="267">
        <v>0</v>
      </c>
      <c r="J26" s="267">
        <v>0</v>
      </c>
      <c r="K26" s="267">
        <v>0</v>
      </c>
      <c r="L26" s="267">
        <v>0</v>
      </c>
      <c r="M26" s="267">
        <v>0</v>
      </c>
      <c r="N26" s="267">
        <v>0</v>
      </c>
      <c r="O26" s="265">
        <f>SUM(C26:N26)</f>
        <v>0</v>
      </c>
      <c r="P26" s="266">
        <f>O26/12</f>
        <v>0</v>
      </c>
    </row>
    <row r="27" spans="1:16" s="310" customFormat="1" ht="10.15" customHeight="1">
      <c r="A27" s="323" t="s">
        <v>14</v>
      </c>
      <c r="B27" s="324"/>
      <c r="C27" s="267">
        <v>0</v>
      </c>
      <c r="D27" s="267">
        <v>0</v>
      </c>
      <c r="E27" s="267">
        <v>0</v>
      </c>
      <c r="F27" s="267">
        <v>0</v>
      </c>
      <c r="G27" s="267">
        <v>400</v>
      </c>
      <c r="H27" s="267">
        <v>2090</v>
      </c>
      <c r="I27" s="267">
        <v>0</v>
      </c>
      <c r="J27" s="267">
        <v>0</v>
      </c>
      <c r="K27" s="267">
        <v>0</v>
      </c>
      <c r="L27" s="267">
        <v>0</v>
      </c>
      <c r="M27" s="267">
        <v>0</v>
      </c>
      <c r="N27" s="267">
        <v>0</v>
      </c>
      <c r="O27" s="265">
        <f>SUM(C27:N27)</f>
        <v>2490</v>
      </c>
      <c r="P27" s="266">
        <f>O27/12</f>
        <v>207.5</v>
      </c>
    </row>
    <row r="28" spans="1:16" s="310" customFormat="1" ht="10.15" customHeight="1">
      <c r="A28" s="323" t="s">
        <v>15</v>
      </c>
      <c r="B28" s="324"/>
      <c r="C28" s="268">
        <f t="shared" ref="C28:N28" si="3">SUM(C24:C27)</f>
        <v>8240</v>
      </c>
      <c r="D28" s="268">
        <f t="shared" si="3"/>
        <v>7730</v>
      </c>
      <c r="E28" s="268">
        <f t="shared" si="3"/>
        <v>6030</v>
      </c>
      <c r="F28" s="268">
        <f t="shared" si="3"/>
        <v>7410</v>
      </c>
      <c r="G28" s="268">
        <f t="shared" si="3"/>
        <v>7250</v>
      </c>
      <c r="H28" s="268">
        <f t="shared" si="3"/>
        <v>8980</v>
      </c>
      <c r="I28" s="268">
        <f t="shared" si="3"/>
        <v>7150</v>
      </c>
      <c r="J28" s="268">
        <f t="shared" si="3"/>
        <v>4970</v>
      </c>
      <c r="K28" s="268">
        <f t="shared" si="3"/>
        <v>10570</v>
      </c>
      <c r="L28" s="268">
        <f t="shared" si="3"/>
        <v>5700</v>
      </c>
      <c r="M28" s="268">
        <f t="shared" si="3"/>
        <v>5890</v>
      </c>
      <c r="N28" s="268">
        <f t="shared" si="3"/>
        <v>5760</v>
      </c>
      <c r="O28" s="268">
        <f>SUM(C28:N28)</f>
        <v>85680</v>
      </c>
      <c r="P28" s="269">
        <f>O28/12</f>
        <v>7140</v>
      </c>
    </row>
    <row r="29" spans="1:16" ht="10.15" customHeight="1">
      <c r="A29" s="317"/>
      <c r="B29" s="318"/>
      <c r="C29" s="260"/>
      <c r="D29" s="260"/>
      <c r="E29" s="260"/>
      <c r="F29" s="260"/>
      <c r="G29" s="260"/>
      <c r="H29" s="260"/>
      <c r="I29" s="260"/>
      <c r="J29" s="260"/>
      <c r="K29" s="260"/>
      <c r="L29" s="260"/>
      <c r="M29" s="260"/>
      <c r="N29" s="260"/>
      <c r="O29" s="260"/>
      <c r="P29" s="261"/>
    </row>
    <row r="30" spans="1:16" ht="10.15" customHeight="1">
      <c r="A30" s="325" t="s">
        <v>16</v>
      </c>
      <c r="B30" s="326"/>
      <c r="C30" s="268">
        <f t="shared" ref="C30:N30" si="4">C21+C28</f>
        <v>58020</v>
      </c>
      <c r="D30" s="268">
        <f t="shared" si="4"/>
        <v>62190</v>
      </c>
      <c r="E30" s="268">
        <f t="shared" si="4"/>
        <v>46030</v>
      </c>
      <c r="F30" s="268">
        <f t="shared" si="4"/>
        <v>68910</v>
      </c>
      <c r="G30" s="268">
        <f t="shared" si="4"/>
        <v>54530</v>
      </c>
      <c r="H30" s="268">
        <f t="shared" si="4"/>
        <v>55320</v>
      </c>
      <c r="I30" s="268">
        <f t="shared" si="4"/>
        <v>63870</v>
      </c>
      <c r="J30" s="268">
        <f t="shared" si="4"/>
        <v>53670</v>
      </c>
      <c r="K30" s="268">
        <f t="shared" si="4"/>
        <v>75490</v>
      </c>
      <c r="L30" s="268">
        <f t="shared" si="4"/>
        <v>61380</v>
      </c>
      <c r="M30" s="268">
        <f t="shared" si="4"/>
        <v>57570</v>
      </c>
      <c r="N30" s="268">
        <f t="shared" si="4"/>
        <v>53980</v>
      </c>
      <c r="O30" s="268">
        <f>SUM(C30:N30)</f>
        <v>710960</v>
      </c>
      <c r="P30" s="269">
        <f>O30/12</f>
        <v>59246.666666666664</v>
      </c>
    </row>
    <row r="31" spans="1:16" ht="10.15" customHeight="1">
      <c r="A31" s="317"/>
      <c r="B31" s="318"/>
      <c r="C31" s="260"/>
      <c r="D31" s="260"/>
      <c r="E31" s="260"/>
      <c r="F31" s="260"/>
      <c r="G31" s="260"/>
      <c r="H31" s="260"/>
      <c r="I31" s="260"/>
      <c r="J31" s="260"/>
      <c r="K31" s="260"/>
      <c r="L31" s="260"/>
      <c r="M31" s="260"/>
      <c r="N31" s="260"/>
      <c r="O31" s="260"/>
      <c r="P31" s="261"/>
    </row>
    <row r="32" spans="1:16" ht="10.15" customHeight="1">
      <c r="A32" s="321" t="s">
        <v>17</v>
      </c>
      <c r="B32" s="322"/>
      <c r="C32" s="264"/>
      <c r="D32" s="264"/>
      <c r="E32" s="264"/>
      <c r="F32" s="264"/>
      <c r="G32" s="264"/>
      <c r="H32" s="264"/>
      <c r="I32" s="264"/>
      <c r="J32" s="264"/>
      <c r="K32" s="264"/>
      <c r="L32" s="264"/>
      <c r="M32" s="264"/>
      <c r="N32" s="264"/>
      <c r="O32" s="264"/>
      <c r="P32" s="270"/>
    </row>
    <row r="33" spans="1:20" ht="10.15" customHeight="1">
      <c r="A33" s="315"/>
      <c r="B33" s="316"/>
      <c r="C33" s="260"/>
      <c r="D33" s="260"/>
      <c r="E33" s="260"/>
      <c r="F33" s="260"/>
      <c r="G33" s="260"/>
      <c r="H33" s="260"/>
      <c r="I33" s="260"/>
      <c r="J33" s="260"/>
      <c r="K33" s="260"/>
      <c r="L33" s="260"/>
      <c r="M33" s="260"/>
      <c r="N33" s="260"/>
      <c r="O33" s="260"/>
      <c r="P33" s="261"/>
    </row>
    <row r="34" spans="1:20" ht="10.15" customHeight="1">
      <c r="A34" s="319" t="s">
        <v>18</v>
      </c>
      <c r="B34" s="245" t="s">
        <v>19</v>
      </c>
      <c r="C34" s="271">
        <v>1285</v>
      </c>
      <c r="D34" s="271">
        <v>1283</v>
      </c>
      <c r="E34" s="271">
        <v>1357</v>
      </c>
      <c r="F34" s="271">
        <v>1347</v>
      </c>
      <c r="G34" s="271">
        <v>1715</v>
      </c>
      <c r="H34" s="271">
        <v>1627</v>
      </c>
      <c r="I34" s="271">
        <v>1350</v>
      </c>
      <c r="J34" s="271">
        <v>1545</v>
      </c>
      <c r="K34" s="271">
        <v>1520</v>
      </c>
      <c r="L34" s="271">
        <v>1118</v>
      </c>
      <c r="M34" s="271">
        <v>1087</v>
      </c>
      <c r="N34" s="271">
        <v>1801</v>
      </c>
      <c r="O34" s="272">
        <f t="shared" ref="O34:O42" si="5">SUM(C34:N34)</f>
        <v>17035</v>
      </c>
      <c r="P34" s="273">
        <f>O34/12</f>
        <v>1419.5833333333333</v>
      </c>
      <c r="Q34" s="222"/>
      <c r="R34" s="222"/>
      <c r="S34" s="222"/>
      <c r="T34" s="222"/>
    </row>
    <row r="35" spans="1:20" ht="10.15" customHeight="1">
      <c r="A35" s="319"/>
      <c r="B35" s="245" t="s">
        <v>20</v>
      </c>
      <c r="C35" s="271">
        <v>0</v>
      </c>
      <c r="D35" s="271">
        <v>0</v>
      </c>
      <c r="E35" s="271">
        <v>0</v>
      </c>
      <c r="F35" s="271">
        <v>0</v>
      </c>
      <c r="G35" s="271">
        <v>0</v>
      </c>
      <c r="H35" s="271">
        <v>0</v>
      </c>
      <c r="I35" s="271">
        <v>0</v>
      </c>
      <c r="J35" s="271">
        <v>0</v>
      </c>
      <c r="K35" s="271">
        <v>0</v>
      </c>
      <c r="L35" s="271">
        <v>0</v>
      </c>
      <c r="M35" s="271">
        <v>0</v>
      </c>
      <c r="N35" s="271">
        <v>0</v>
      </c>
      <c r="O35" s="272">
        <f t="shared" si="5"/>
        <v>0</v>
      </c>
      <c r="P35" s="273">
        <f>O35/12</f>
        <v>0</v>
      </c>
      <c r="Q35" s="222"/>
      <c r="R35" s="222"/>
      <c r="S35" s="222"/>
      <c r="T35" s="222"/>
    </row>
    <row r="36" spans="1:20" ht="10.15" customHeight="1">
      <c r="A36" s="319"/>
      <c r="B36" s="245" t="s">
        <v>21</v>
      </c>
      <c r="C36" s="274">
        <v>457</v>
      </c>
      <c r="D36" s="274">
        <v>402</v>
      </c>
      <c r="E36" s="274">
        <v>537</v>
      </c>
      <c r="F36" s="274">
        <v>547</v>
      </c>
      <c r="G36" s="274">
        <v>495</v>
      </c>
      <c r="H36" s="274">
        <v>448</v>
      </c>
      <c r="I36" s="274">
        <v>596</v>
      </c>
      <c r="J36" s="274">
        <v>577</v>
      </c>
      <c r="K36" s="274">
        <v>469</v>
      </c>
      <c r="L36" s="274">
        <v>262</v>
      </c>
      <c r="M36" s="274">
        <v>360</v>
      </c>
      <c r="N36" s="274">
        <v>721</v>
      </c>
      <c r="O36" s="275">
        <f t="shared" si="5"/>
        <v>5871</v>
      </c>
      <c r="P36" s="276">
        <f>O36/12</f>
        <v>489.25</v>
      </c>
      <c r="Q36" s="222"/>
      <c r="R36" s="222"/>
      <c r="S36" s="222"/>
      <c r="T36" s="222"/>
    </row>
    <row r="37" spans="1:20" ht="10.15" customHeight="1">
      <c r="A37" s="319"/>
      <c r="B37" s="245" t="s">
        <v>22</v>
      </c>
      <c r="C37" s="274">
        <v>3700</v>
      </c>
      <c r="D37" s="274">
        <v>1000</v>
      </c>
      <c r="E37" s="274">
        <v>0</v>
      </c>
      <c r="F37" s="274">
        <v>0</v>
      </c>
      <c r="G37" s="274">
        <v>4591</v>
      </c>
      <c r="H37" s="274">
        <v>0</v>
      </c>
      <c r="I37" s="274">
        <v>3926</v>
      </c>
      <c r="J37" s="274">
        <v>0</v>
      </c>
      <c r="K37" s="274">
        <v>0</v>
      </c>
      <c r="L37" s="274">
        <v>0</v>
      </c>
      <c r="M37" s="274">
        <v>3680</v>
      </c>
      <c r="N37" s="274">
        <v>0</v>
      </c>
      <c r="O37" s="275">
        <f t="shared" si="5"/>
        <v>16897</v>
      </c>
      <c r="P37" s="276">
        <f>O37/12</f>
        <v>1408.0833333333333</v>
      </c>
      <c r="Q37" s="222"/>
      <c r="R37" s="222"/>
      <c r="S37" s="222"/>
      <c r="T37" s="222"/>
    </row>
    <row r="38" spans="1:20" ht="10.15" customHeight="1">
      <c r="A38" s="319"/>
      <c r="B38" s="245" t="s">
        <v>23</v>
      </c>
      <c r="C38" s="274">
        <v>0</v>
      </c>
      <c r="D38" s="274">
        <v>0</v>
      </c>
      <c r="E38" s="274">
        <v>0</v>
      </c>
      <c r="F38" s="274">
        <v>0</v>
      </c>
      <c r="G38" s="274">
        <v>0</v>
      </c>
      <c r="H38" s="274">
        <v>0</v>
      </c>
      <c r="I38" s="274">
        <v>0</v>
      </c>
      <c r="J38" s="274">
        <v>0</v>
      </c>
      <c r="K38" s="274">
        <v>0</v>
      </c>
      <c r="L38" s="274">
        <v>0</v>
      </c>
      <c r="M38" s="274">
        <v>0</v>
      </c>
      <c r="N38" s="274">
        <v>0</v>
      </c>
      <c r="O38" s="275">
        <f t="shared" si="5"/>
        <v>0</v>
      </c>
      <c r="P38" s="276">
        <f t="shared" ref="P38:P41" si="6">O38/12</f>
        <v>0</v>
      </c>
      <c r="Q38" s="222"/>
      <c r="R38" s="222"/>
      <c r="S38" s="222"/>
      <c r="T38" s="222"/>
    </row>
    <row r="39" spans="1:20" ht="10.15" customHeight="1">
      <c r="A39" s="319"/>
      <c r="B39" s="245" t="s">
        <v>24</v>
      </c>
      <c r="C39" s="274"/>
      <c r="D39" s="274"/>
      <c r="E39" s="274"/>
      <c r="F39" s="274"/>
      <c r="G39" s="274"/>
      <c r="H39" s="274"/>
      <c r="I39" s="274"/>
      <c r="J39" s="274"/>
      <c r="K39" s="274"/>
      <c r="L39" s="274"/>
      <c r="M39" s="274"/>
      <c r="N39" s="274"/>
      <c r="O39" s="275">
        <f t="shared" si="5"/>
        <v>0</v>
      </c>
      <c r="P39" s="276">
        <f t="shared" si="6"/>
        <v>0</v>
      </c>
      <c r="Q39" s="222"/>
      <c r="R39" s="222"/>
      <c r="S39" s="222"/>
      <c r="T39" s="222"/>
    </row>
    <row r="40" spans="1:20" ht="10.15" customHeight="1">
      <c r="A40" s="319"/>
      <c r="B40" s="245" t="s">
        <v>25</v>
      </c>
      <c r="C40" s="274"/>
      <c r="D40" s="274"/>
      <c r="E40" s="274"/>
      <c r="F40" s="274"/>
      <c r="G40" s="274"/>
      <c r="H40" s="274"/>
      <c r="I40" s="274"/>
      <c r="J40" s="274"/>
      <c r="K40" s="274"/>
      <c r="L40" s="274"/>
      <c r="M40" s="274"/>
      <c r="N40" s="274"/>
      <c r="O40" s="275">
        <f t="shared" si="5"/>
        <v>0</v>
      </c>
      <c r="P40" s="276">
        <f t="shared" si="6"/>
        <v>0</v>
      </c>
      <c r="Q40" s="222"/>
      <c r="R40" s="222"/>
      <c r="S40" s="222"/>
      <c r="T40" s="222"/>
    </row>
    <row r="41" spans="1:20" ht="10.15" customHeight="1">
      <c r="A41" s="319"/>
      <c r="B41" s="245" t="s">
        <v>26</v>
      </c>
      <c r="C41" s="274"/>
      <c r="D41" s="274"/>
      <c r="E41" s="274"/>
      <c r="F41" s="274"/>
      <c r="G41" s="274"/>
      <c r="H41" s="274"/>
      <c r="I41" s="274"/>
      <c r="J41" s="274"/>
      <c r="K41" s="274"/>
      <c r="L41" s="274"/>
      <c r="M41" s="274"/>
      <c r="N41" s="274"/>
      <c r="O41" s="275">
        <f t="shared" si="5"/>
        <v>0</v>
      </c>
      <c r="P41" s="276">
        <f t="shared" si="6"/>
        <v>0</v>
      </c>
      <c r="Q41" s="222"/>
      <c r="R41" s="222"/>
      <c r="S41" s="222"/>
      <c r="T41" s="222"/>
    </row>
    <row r="42" spans="1:20" ht="10.15" customHeight="1">
      <c r="A42" s="319" t="s">
        <v>27</v>
      </c>
      <c r="B42" s="320"/>
      <c r="C42" s="275">
        <f t="shared" ref="C42:N42" si="7">SUM(C34:C41)</f>
        <v>5442</v>
      </c>
      <c r="D42" s="275">
        <f t="shared" si="7"/>
        <v>2685</v>
      </c>
      <c r="E42" s="275">
        <f t="shared" si="7"/>
        <v>1894</v>
      </c>
      <c r="F42" s="275">
        <f t="shared" si="7"/>
        <v>1894</v>
      </c>
      <c r="G42" s="275">
        <f t="shared" si="7"/>
        <v>6801</v>
      </c>
      <c r="H42" s="275">
        <f t="shared" si="7"/>
        <v>2075</v>
      </c>
      <c r="I42" s="275">
        <f t="shared" si="7"/>
        <v>5872</v>
      </c>
      <c r="J42" s="275">
        <f t="shared" si="7"/>
        <v>2122</v>
      </c>
      <c r="K42" s="275">
        <f t="shared" si="7"/>
        <v>1989</v>
      </c>
      <c r="L42" s="275">
        <f t="shared" si="7"/>
        <v>1380</v>
      </c>
      <c r="M42" s="275">
        <f t="shared" si="7"/>
        <v>5127</v>
      </c>
      <c r="N42" s="275">
        <f t="shared" si="7"/>
        <v>2522</v>
      </c>
      <c r="O42" s="275">
        <f t="shared" si="5"/>
        <v>39803</v>
      </c>
      <c r="P42" s="276">
        <f>O42/12</f>
        <v>3316.9166666666665</v>
      </c>
      <c r="Q42" s="222"/>
      <c r="R42" s="222"/>
      <c r="S42" s="222"/>
      <c r="T42" s="222"/>
    </row>
    <row r="43" spans="1:20" ht="10.15" customHeight="1">
      <c r="A43" s="308"/>
      <c r="B43" s="246"/>
      <c r="C43" s="275"/>
      <c r="D43" s="275"/>
      <c r="E43" s="275"/>
      <c r="F43" s="275"/>
      <c r="G43" s="275"/>
      <c r="H43" s="275"/>
      <c r="I43" s="275"/>
      <c r="J43" s="275"/>
      <c r="K43" s="275"/>
      <c r="L43" s="275"/>
      <c r="M43" s="275"/>
      <c r="N43" s="275"/>
      <c r="O43" s="275"/>
      <c r="P43" s="276"/>
      <c r="Q43" s="222"/>
      <c r="R43" s="222"/>
      <c r="S43" s="222"/>
      <c r="T43" s="222"/>
    </row>
    <row r="44" spans="1:20" ht="10.15" customHeight="1">
      <c r="A44" s="319" t="s">
        <v>28</v>
      </c>
      <c r="B44" s="245" t="s">
        <v>29</v>
      </c>
      <c r="C44" s="274">
        <v>0</v>
      </c>
      <c r="D44" s="274">
        <v>0</v>
      </c>
      <c r="E44" s="274">
        <v>23400</v>
      </c>
      <c r="F44" s="274">
        <v>16920</v>
      </c>
      <c r="G44" s="274">
        <v>17900</v>
      </c>
      <c r="H44" s="274">
        <v>22020</v>
      </c>
      <c r="I44" s="274">
        <v>23280</v>
      </c>
      <c r="J44" s="274">
        <v>22580</v>
      </c>
      <c r="K44" s="274">
        <v>14640</v>
      </c>
      <c r="L44" s="274">
        <v>12060</v>
      </c>
      <c r="M44" s="274">
        <v>13240</v>
      </c>
      <c r="N44" s="274">
        <v>12280</v>
      </c>
      <c r="O44" s="275">
        <f>SUM(C44:N44)</f>
        <v>178320</v>
      </c>
      <c r="P44" s="276">
        <f>O44/12</f>
        <v>14860</v>
      </c>
      <c r="Q44" s="222"/>
      <c r="R44" s="222"/>
      <c r="S44" s="222"/>
      <c r="T44" s="222"/>
    </row>
    <row r="45" spans="1:20" ht="10.15" customHeight="1">
      <c r="A45" s="319"/>
      <c r="B45" s="245" t="s">
        <v>30</v>
      </c>
      <c r="C45" s="274">
        <v>18220</v>
      </c>
      <c r="D45" s="274">
        <v>15920</v>
      </c>
      <c r="E45" s="274">
        <v>0</v>
      </c>
      <c r="F45" s="274">
        <v>0</v>
      </c>
      <c r="G45" s="274">
        <v>0</v>
      </c>
      <c r="H45" s="274">
        <v>0</v>
      </c>
      <c r="I45" s="274">
        <v>0</v>
      </c>
      <c r="J45" s="274">
        <v>0</v>
      </c>
      <c r="K45" s="274">
        <v>0</v>
      </c>
      <c r="L45" s="274">
        <v>0</v>
      </c>
      <c r="M45" s="274">
        <v>0</v>
      </c>
      <c r="N45" s="274">
        <v>0</v>
      </c>
      <c r="O45" s="275">
        <f>SUM(C45:N45)</f>
        <v>34140</v>
      </c>
      <c r="P45" s="276">
        <f>O45/12</f>
        <v>2845</v>
      </c>
      <c r="Q45" s="222"/>
      <c r="R45" s="222"/>
      <c r="S45" s="222"/>
      <c r="T45" s="222"/>
    </row>
    <row r="46" spans="1:20" ht="10.15" customHeight="1">
      <c r="A46" s="319"/>
      <c r="B46" s="245" t="s">
        <v>31</v>
      </c>
      <c r="C46" s="274">
        <v>5560</v>
      </c>
      <c r="D46" s="274">
        <v>6260</v>
      </c>
      <c r="E46" s="274">
        <v>6320</v>
      </c>
      <c r="F46" s="274">
        <v>6100</v>
      </c>
      <c r="G46" s="274">
        <v>6380</v>
      </c>
      <c r="H46" s="274">
        <v>5940</v>
      </c>
      <c r="I46" s="274">
        <v>6781</v>
      </c>
      <c r="J46" s="274">
        <v>4912</v>
      </c>
      <c r="K46" s="274">
        <v>5354</v>
      </c>
      <c r="L46" s="274">
        <v>3780</v>
      </c>
      <c r="M46" s="274">
        <v>3640</v>
      </c>
      <c r="N46" s="274">
        <v>5258</v>
      </c>
      <c r="O46" s="275">
        <f>SUM(C46:N46)</f>
        <v>66285</v>
      </c>
      <c r="P46" s="276">
        <f>O46/12</f>
        <v>5523.75</v>
      </c>
      <c r="Q46" s="222"/>
      <c r="R46" s="222"/>
      <c r="S46" s="222"/>
      <c r="T46" s="222"/>
    </row>
    <row r="47" spans="1:20" ht="10.15" customHeight="1">
      <c r="A47" s="319"/>
      <c r="B47" s="245" t="s">
        <v>32</v>
      </c>
      <c r="C47" s="274">
        <v>780</v>
      </c>
      <c r="D47" s="274">
        <v>1140</v>
      </c>
      <c r="E47" s="274">
        <v>927</v>
      </c>
      <c r="F47" s="274">
        <v>720</v>
      </c>
      <c r="G47" s="274">
        <v>1040</v>
      </c>
      <c r="H47" s="274">
        <v>840</v>
      </c>
      <c r="I47" s="274">
        <v>240</v>
      </c>
      <c r="J47" s="274">
        <v>460</v>
      </c>
      <c r="K47" s="274">
        <v>134</v>
      </c>
      <c r="L47" s="274">
        <v>0</v>
      </c>
      <c r="M47" s="274">
        <v>280</v>
      </c>
      <c r="N47" s="274">
        <v>0</v>
      </c>
      <c r="O47" s="275">
        <f>SUM(C47:N47)</f>
        <v>6561</v>
      </c>
      <c r="P47" s="276">
        <f>O47/12</f>
        <v>546.75</v>
      </c>
      <c r="Q47" s="222"/>
      <c r="R47" s="222"/>
      <c r="S47" s="222"/>
      <c r="T47" s="222"/>
    </row>
    <row r="48" spans="1:20" ht="10.15" customHeight="1">
      <c r="A48" s="319" t="s">
        <v>27</v>
      </c>
      <c r="B48" s="320"/>
      <c r="C48" s="275">
        <f t="shared" ref="C48:N48" si="8">SUM(C44:C47)</f>
        <v>24560</v>
      </c>
      <c r="D48" s="275">
        <f t="shared" si="8"/>
        <v>23320</v>
      </c>
      <c r="E48" s="275">
        <f t="shared" si="8"/>
        <v>30647</v>
      </c>
      <c r="F48" s="275">
        <f t="shared" si="8"/>
        <v>23740</v>
      </c>
      <c r="G48" s="275">
        <f t="shared" si="8"/>
        <v>25320</v>
      </c>
      <c r="H48" s="275">
        <f t="shared" si="8"/>
        <v>28800</v>
      </c>
      <c r="I48" s="275">
        <f t="shared" si="8"/>
        <v>30301</v>
      </c>
      <c r="J48" s="275">
        <f t="shared" si="8"/>
        <v>27952</v>
      </c>
      <c r="K48" s="275">
        <f t="shared" si="8"/>
        <v>20128</v>
      </c>
      <c r="L48" s="275">
        <f t="shared" si="8"/>
        <v>15840</v>
      </c>
      <c r="M48" s="275">
        <f t="shared" si="8"/>
        <v>17160</v>
      </c>
      <c r="N48" s="275">
        <f t="shared" si="8"/>
        <v>17538</v>
      </c>
      <c r="O48" s="275">
        <f>SUM(C48:N48)</f>
        <v>285306</v>
      </c>
      <c r="P48" s="276">
        <f>O48/12</f>
        <v>23775.5</v>
      </c>
      <c r="Q48" s="222"/>
      <c r="R48" s="222"/>
      <c r="S48" s="222"/>
      <c r="T48" s="222"/>
    </row>
    <row r="49" spans="1:20" ht="10.15" customHeight="1">
      <c r="A49" s="308"/>
      <c r="B49" s="246"/>
      <c r="C49" s="275"/>
      <c r="D49" s="275"/>
      <c r="E49" s="275"/>
      <c r="F49" s="275"/>
      <c r="G49" s="275"/>
      <c r="H49" s="275"/>
      <c r="I49" s="275"/>
      <c r="J49" s="275"/>
      <c r="K49" s="275"/>
      <c r="L49" s="275"/>
      <c r="M49" s="275"/>
      <c r="N49" s="275"/>
      <c r="O49" s="275"/>
      <c r="P49" s="276"/>
      <c r="Q49" s="222"/>
      <c r="R49" s="222"/>
      <c r="S49" s="222"/>
      <c r="T49" s="222"/>
    </row>
    <row r="50" spans="1:20" ht="10.15" customHeight="1">
      <c r="A50" s="319" t="s">
        <v>33</v>
      </c>
      <c r="B50" s="245" t="s">
        <v>34</v>
      </c>
      <c r="C50" s="274">
        <v>0</v>
      </c>
      <c r="D50" s="274">
        <v>0</v>
      </c>
      <c r="E50" s="274">
        <v>0</v>
      </c>
      <c r="F50" s="274">
        <v>0</v>
      </c>
      <c r="G50" s="274">
        <v>0</v>
      </c>
      <c r="H50" s="274">
        <v>0</v>
      </c>
      <c r="I50" s="274">
        <v>0</v>
      </c>
      <c r="J50" s="274">
        <v>0</v>
      </c>
      <c r="K50" s="274">
        <v>0</v>
      </c>
      <c r="L50" s="274">
        <v>0</v>
      </c>
      <c r="M50" s="274">
        <v>0</v>
      </c>
      <c r="N50" s="274">
        <v>0</v>
      </c>
      <c r="O50" s="272">
        <f>SUM(C50:N50)</f>
        <v>0</v>
      </c>
      <c r="P50" s="273">
        <f>O50/12</f>
        <v>0</v>
      </c>
      <c r="Q50" s="222"/>
      <c r="R50" s="222"/>
      <c r="S50" s="222"/>
      <c r="T50" s="222"/>
    </row>
    <row r="51" spans="1:20" ht="10.15" customHeight="1">
      <c r="A51" s="319"/>
      <c r="B51" s="245" t="s">
        <v>35</v>
      </c>
      <c r="C51" s="274">
        <v>0</v>
      </c>
      <c r="D51" s="274">
        <v>0</v>
      </c>
      <c r="E51" s="274">
        <v>0</v>
      </c>
      <c r="F51" s="274">
        <v>0</v>
      </c>
      <c r="G51" s="274">
        <v>0</v>
      </c>
      <c r="H51" s="274">
        <v>0</v>
      </c>
      <c r="I51" s="274">
        <v>0</v>
      </c>
      <c r="J51" s="274">
        <v>0</v>
      </c>
      <c r="K51" s="274">
        <v>0</v>
      </c>
      <c r="L51" s="274">
        <v>0</v>
      </c>
      <c r="M51" s="274">
        <v>0</v>
      </c>
      <c r="N51" s="274">
        <v>0</v>
      </c>
      <c r="O51" s="272">
        <f>SUM(C51:N51)</f>
        <v>0</v>
      </c>
      <c r="P51" s="273">
        <f>O51/12</f>
        <v>0</v>
      </c>
      <c r="Q51" s="222"/>
      <c r="R51" s="222"/>
      <c r="S51" s="222"/>
      <c r="T51" s="222"/>
    </row>
    <row r="52" spans="1:20" ht="10.15" customHeight="1">
      <c r="A52" s="319" t="s">
        <v>27</v>
      </c>
      <c r="B52" s="320"/>
      <c r="C52" s="275">
        <f t="shared" ref="C52:L52" si="9">SUM(C50:C51)</f>
        <v>0</v>
      </c>
      <c r="D52" s="275">
        <f t="shared" si="9"/>
        <v>0</v>
      </c>
      <c r="E52" s="275">
        <f t="shared" si="9"/>
        <v>0</v>
      </c>
      <c r="F52" s="275">
        <f t="shared" si="9"/>
        <v>0</v>
      </c>
      <c r="G52" s="275">
        <f t="shared" si="9"/>
        <v>0</v>
      </c>
      <c r="H52" s="275">
        <f t="shared" si="9"/>
        <v>0</v>
      </c>
      <c r="I52" s="275">
        <f t="shared" si="9"/>
        <v>0</v>
      </c>
      <c r="J52" s="275">
        <f t="shared" si="9"/>
        <v>0</v>
      </c>
      <c r="K52" s="275">
        <f t="shared" si="9"/>
        <v>0</v>
      </c>
      <c r="L52" s="275">
        <f t="shared" si="9"/>
        <v>0</v>
      </c>
      <c r="M52" s="275">
        <f t="shared" ref="M52:N52" si="10">SUM(M50:M51)</f>
        <v>0</v>
      </c>
      <c r="N52" s="275">
        <f t="shared" si="10"/>
        <v>0</v>
      </c>
      <c r="O52" s="272">
        <f>SUM(C52:N52)</f>
        <v>0</v>
      </c>
      <c r="P52" s="273">
        <f>O52/12</f>
        <v>0</v>
      </c>
      <c r="Q52" s="222"/>
      <c r="R52" s="222"/>
      <c r="S52" s="222"/>
      <c r="T52" s="222"/>
    </row>
    <row r="53" spans="1:20" ht="10.15" customHeight="1">
      <c r="A53" s="308"/>
      <c r="B53" s="246"/>
      <c r="C53" s="275"/>
      <c r="D53" s="275"/>
      <c r="E53" s="275"/>
      <c r="F53" s="275"/>
      <c r="G53" s="275"/>
      <c r="H53" s="275"/>
      <c r="I53" s="275"/>
      <c r="J53" s="275"/>
      <c r="K53" s="275"/>
      <c r="L53" s="275"/>
      <c r="M53" s="275"/>
      <c r="N53" s="275"/>
      <c r="O53" s="272"/>
      <c r="P53" s="273"/>
      <c r="Q53" s="222"/>
      <c r="R53" s="222"/>
      <c r="S53" s="222"/>
      <c r="T53" s="222"/>
    </row>
    <row r="54" spans="1:20" ht="10.15" customHeight="1">
      <c r="A54" s="319" t="s">
        <v>36</v>
      </c>
      <c r="B54" s="245" t="s">
        <v>37</v>
      </c>
      <c r="C54" s="274">
        <v>0</v>
      </c>
      <c r="D54" s="274">
        <v>0</v>
      </c>
      <c r="E54" s="274">
        <v>0</v>
      </c>
      <c r="F54" s="274">
        <v>0</v>
      </c>
      <c r="G54" s="274">
        <v>0</v>
      </c>
      <c r="H54" s="274">
        <v>960</v>
      </c>
      <c r="I54" s="274">
        <v>0</v>
      </c>
      <c r="J54" s="274">
        <v>0</v>
      </c>
      <c r="K54" s="274">
        <v>0</v>
      </c>
      <c r="L54" s="274">
        <v>0</v>
      </c>
      <c r="M54" s="274">
        <v>0</v>
      </c>
      <c r="N54" s="274">
        <v>0</v>
      </c>
      <c r="O54" s="272">
        <f>SUM(C54:N54)</f>
        <v>960</v>
      </c>
      <c r="P54" s="273">
        <f>O54/12</f>
        <v>80</v>
      </c>
      <c r="Q54" s="222"/>
      <c r="R54" s="222"/>
      <c r="S54" s="222"/>
      <c r="T54" s="222"/>
    </row>
    <row r="55" spans="1:20" ht="10.15" customHeight="1">
      <c r="A55" s="319"/>
      <c r="B55" s="245" t="s">
        <v>38</v>
      </c>
      <c r="C55" s="274">
        <v>1440</v>
      </c>
      <c r="D55" s="274">
        <v>1078</v>
      </c>
      <c r="E55" s="274">
        <v>1598</v>
      </c>
      <c r="F55" s="274">
        <v>1200</v>
      </c>
      <c r="G55" s="274">
        <v>0</v>
      </c>
      <c r="H55" s="274">
        <v>1370</v>
      </c>
      <c r="I55" s="274">
        <v>905</v>
      </c>
      <c r="J55" s="274">
        <v>784</v>
      </c>
      <c r="K55" s="274">
        <v>0</v>
      </c>
      <c r="L55" s="274">
        <v>1720</v>
      </c>
      <c r="M55" s="274">
        <v>480</v>
      </c>
      <c r="N55" s="274">
        <v>1100</v>
      </c>
      <c r="O55" s="272">
        <f>SUM(C55:N55)</f>
        <v>11675</v>
      </c>
      <c r="P55" s="273">
        <f>O55/12</f>
        <v>972.91666666666663</v>
      </c>
      <c r="Q55" s="222"/>
      <c r="R55" s="222"/>
      <c r="S55" s="222"/>
      <c r="T55" s="222"/>
    </row>
    <row r="56" spans="1:20" ht="10.15" customHeight="1">
      <c r="A56" s="319"/>
      <c r="B56" s="245" t="s">
        <v>39</v>
      </c>
      <c r="C56" s="274">
        <v>0</v>
      </c>
      <c r="D56" s="274">
        <v>57</v>
      </c>
      <c r="E56" s="274">
        <v>80</v>
      </c>
      <c r="F56" s="274">
        <v>0</v>
      </c>
      <c r="G56" s="274">
        <v>0</v>
      </c>
      <c r="H56" s="274">
        <v>0</v>
      </c>
      <c r="I56" s="274">
        <v>140</v>
      </c>
      <c r="J56" s="274">
        <v>0</v>
      </c>
      <c r="K56" s="274">
        <v>0</v>
      </c>
      <c r="L56" s="274">
        <v>0</v>
      </c>
      <c r="M56" s="274">
        <v>0</v>
      </c>
      <c r="N56" s="274">
        <v>0</v>
      </c>
      <c r="O56" s="272">
        <f>SUM(C56:N56)</f>
        <v>277</v>
      </c>
      <c r="P56" s="273">
        <f>O56/12</f>
        <v>23.083333333333332</v>
      </c>
      <c r="Q56" s="222"/>
      <c r="R56" s="222"/>
      <c r="S56" s="222"/>
      <c r="T56" s="222"/>
    </row>
    <row r="57" spans="1:20" ht="10.15" customHeight="1">
      <c r="A57" s="319" t="s">
        <v>27</v>
      </c>
      <c r="B57" s="320"/>
      <c r="C57" s="262">
        <f>SUM(C54:C56)</f>
        <v>1440</v>
      </c>
      <c r="D57" s="262">
        <f>SUM(D54:D56)</f>
        <v>1135</v>
      </c>
      <c r="E57" s="262">
        <f>SUM(E54:E56)</f>
        <v>1678</v>
      </c>
      <c r="F57" s="262">
        <f>SUM(F54:F56)</f>
        <v>1200</v>
      </c>
      <c r="G57" s="262">
        <f t="shared" ref="G57" si="11">SUM(G54:G56)</f>
        <v>0</v>
      </c>
      <c r="H57" s="262">
        <f t="shared" ref="H57:N57" si="12">SUM(H54:H56)</f>
        <v>2330</v>
      </c>
      <c r="I57" s="262">
        <f t="shared" si="12"/>
        <v>1045</v>
      </c>
      <c r="J57" s="262">
        <f t="shared" si="12"/>
        <v>784</v>
      </c>
      <c r="K57" s="262">
        <f t="shared" si="12"/>
        <v>0</v>
      </c>
      <c r="L57" s="262">
        <f t="shared" si="12"/>
        <v>1720</v>
      </c>
      <c r="M57" s="262">
        <f t="shared" si="12"/>
        <v>480</v>
      </c>
      <c r="N57" s="262">
        <f t="shared" si="12"/>
        <v>1100</v>
      </c>
      <c r="O57" s="272">
        <f>SUM(C57:N57)</f>
        <v>12912</v>
      </c>
      <c r="P57" s="273">
        <f>O57/12</f>
        <v>1076</v>
      </c>
      <c r="Q57" s="222"/>
      <c r="R57" s="222"/>
      <c r="S57" s="222"/>
      <c r="T57" s="222"/>
    </row>
    <row r="58" spans="1:20" ht="10.15" customHeight="1">
      <c r="A58" s="308"/>
      <c r="B58" s="246"/>
      <c r="C58" s="275"/>
      <c r="D58" s="275"/>
      <c r="E58" s="275"/>
      <c r="F58" s="275"/>
      <c r="G58" s="275"/>
      <c r="H58" s="275"/>
      <c r="I58" s="275"/>
      <c r="J58" s="275"/>
      <c r="K58" s="275"/>
      <c r="L58" s="275"/>
      <c r="M58" s="275"/>
      <c r="N58" s="275"/>
      <c r="O58" s="272"/>
      <c r="P58" s="273"/>
      <c r="Q58" s="222"/>
      <c r="R58" s="222"/>
      <c r="S58" s="222"/>
      <c r="T58" s="222"/>
    </row>
    <row r="59" spans="1:20" ht="10.15" customHeight="1">
      <c r="A59" s="319" t="s">
        <v>13</v>
      </c>
      <c r="B59" s="245" t="s">
        <v>40</v>
      </c>
      <c r="C59" s="274">
        <v>0</v>
      </c>
      <c r="D59" s="274">
        <v>80</v>
      </c>
      <c r="E59" s="274">
        <v>174</v>
      </c>
      <c r="F59" s="274">
        <v>0</v>
      </c>
      <c r="G59" s="274">
        <v>175</v>
      </c>
      <c r="H59" s="274">
        <v>110</v>
      </c>
      <c r="I59" s="274">
        <v>71</v>
      </c>
      <c r="J59" s="274">
        <v>95</v>
      </c>
      <c r="K59" s="274">
        <v>0</v>
      </c>
      <c r="L59" s="274">
        <v>170</v>
      </c>
      <c r="M59" s="274">
        <v>163</v>
      </c>
      <c r="N59" s="274">
        <v>0</v>
      </c>
      <c r="O59" s="275">
        <f t="shared" ref="O59:O66" si="13">SUM(C59:N59)</f>
        <v>1038</v>
      </c>
      <c r="P59" s="276">
        <f>O59/12</f>
        <v>86.5</v>
      </c>
      <c r="Q59" s="222"/>
      <c r="R59" s="222"/>
      <c r="S59" s="222"/>
      <c r="T59" s="222"/>
    </row>
    <row r="60" spans="1:20" ht="10.15" customHeight="1">
      <c r="A60" s="319"/>
      <c r="B60" s="245" t="s">
        <v>41</v>
      </c>
      <c r="C60" s="274"/>
      <c r="D60" s="274"/>
      <c r="E60" s="274"/>
      <c r="F60" s="274"/>
      <c r="G60" s="274"/>
      <c r="H60" s="274"/>
      <c r="I60" s="274"/>
      <c r="J60" s="274"/>
      <c r="K60" s="274"/>
      <c r="L60" s="274"/>
      <c r="M60" s="274"/>
      <c r="N60" s="274"/>
      <c r="O60" s="275">
        <f t="shared" si="13"/>
        <v>0</v>
      </c>
      <c r="P60" s="276">
        <f t="shared" ref="P60:P63" si="14">O60/12</f>
        <v>0</v>
      </c>
      <c r="Q60" s="222"/>
      <c r="R60" s="222"/>
      <c r="S60" s="222"/>
      <c r="T60" s="222"/>
    </row>
    <row r="61" spans="1:20" ht="10.15" customHeight="1">
      <c r="A61" s="319"/>
      <c r="B61" s="245" t="s">
        <v>42</v>
      </c>
      <c r="C61" s="274">
        <v>140</v>
      </c>
      <c r="D61" s="274">
        <v>380</v>
      </c>
      <c r="E61" s="274">
        <v>300</v>
      </c>
      <c r="F61" s="274">
        <v>360</v>
      </c>
      <c r="G61" s="274">
        <v>340</v>
      </c>
      <c r="H61" s="274">
        <v>280</v>
      </c>
      <c r="I61" s="274">
        <v>280</v>
      </c>
      <c r="J61" s="274">
        <v>400</v>
      </c>
      <c r="K61" s="274">
        <v>0</v>
      </c>
      <c r="L61" s="274">
        <v>378</v>
      </c>
      <c r="M61" s="274">
        <v>340</v>
      </c>
      <c r="N61" s="274">
        <v>480</v>
      </c>
      <c r="O61" s="275">
        <f t="shared" si="13"/>
        <v>3678</v>
      </c>
      <c r="P61" s="276">
        <f>O61/12</f>
        <v>306.5</v>
      </c>
      <c r="Q61" s="222"/>
      <c r="R61" s="222"/>
      <c r="S61" s="222"/>
      <c r="T61" s="222"/>
    </row>
    <row r="62" spans="1:20" ht="10.15" customHeight="1">
      <c r="A62" s="319"/>
      <c r="B62" s="245" t="s">
        <v>43</v>
      </c>
      <c r="C62" s="274">
        <v>3125</v>
      </c>
      <c r="D62" s="274">
        <v>3511</v>
      </c>
      <c r="E62" s="274">
        <v>3595</v>
      </c>
      <c r="F62" s="274">
        <v>4267</v>
      </c>
      <c r="G62" s="274">
        <v>3658</v>
      </c>
      <c r="H62" s="274">
        <v>4309</v>
      </c>
      <c r="I62" s="274">
        <v>3655</v>
      </c>
      <c r="J62" s="274">
        <v>4012</v>
      </c>
      <c r="K62" s="274">
        <v>2655</v>
      </c>
      <c r="L62" s="274">
        <v>4485</v>
      </c>
      <c r="M62" s="274">
        <v>2753</v>
      </c>
      <c r="N62" s="274">
        <v>5271</v>
      </c>
      <c r="O62" s="275">
        <f t="shared" si="13"/>
        <v>45296</v>
      </c>
      <c r="P62" s="276">
        <f>O62/12</f>
        <v>3774.6666666666665</v>
      </c>
      <c r="Q62" s="222"/>
      <c r="R62" s="222"/>
      <c r="S62" s="222"/>
      <c r="T62" s="222"/>
    </row>
    <row r="63" spans="1:20" ht="10.15" customHeight="1">
      <c r="A63" s="319"/>
      <c r="B63" s="245" t="s">
        <v>44</v>
      </c>
      <c r="C63" s="274">
        <v>0</v>
      </c>
      <c r="D63" s="274">
        <v>0</v>
      </c>
      <c r="E63" s="274">
        <v>0</v>
      </c>
      <c r="F63" s="274">
        <v>0</v>
      </c>
      <c r="G63" s="274">
        <v>0</v>
      </c>
      <c r="H63" s="274">
        <v>0</v>
      </c>
      <c r="I63" s="274">
        <v>0</v>
      </c>
      <c r="J63" s="274">
        <v>0</v>
      </c>
      <c r="K63" s="274">
        <v>0</v>
      </c>
      <c r="L63" s="274"/>
      <c r="M63" s="274">
        <v>0</v>
      </c>
      <c r="N63" s="274">
        <v>0</v>
      </c>
      <c r="O63" s="275">
        <f t="shared" si="13"/>
        <v>0</v>
      </c>
      <c r="P63" s="276">
        <f t="shared" si="14"/>
        <v>0</v>
      </c>
      <c r="Q63" s="222"/>
      <c r="R63" s="222"/>
      <c r="S63" s="222"/>
      <c r="T63" s="222"/>
    </row>
    <row r="64" spans="1:20" ht="10.15" customHeight="1">
      <c r="A64" s="319"/>
      <c r="B64" s="245" t="s">
        <v>45</v>
      </c>
      <c r="C64" s="274">
        <v>0</v>
      </c>
      <c r="D64" s="274">
        <v>0</v>
      </c>
      <c r="E64" s="274">
        <v>16</v>
      </c>
      <c r="F64" s="274">
        <v>0</v>
      </c>
      <c r="G64" s="274">
        <v>0</v>
      </c>
      <c r="H64" s="274">
        <v>0</v>
      </c>
      <c r="I64" s="274">
        <v>0</v>
      </c>
      <c r="J64" s="274">
        <v>31</v>
      </c>
      <c r="K64" s="274">
        <v>0</v>
      </c>
      <c r="L64" s="274"/>
      <c r="M64" s="274">
        <v>0</v>
      </c>
      <c r="N64" s="274">
        <v>0</v>
      </c>
      <c r="O64" s="275">
        <f t="shared" si="13"/>
        <v>47</v>
      </c>
      <c r="P64" s="276">
        <f>O64/12</f>
        <v>3.9166666666666665</v>
      </c>
      <c r="Q64" s="222"/>
      <c r="R64" s="222"/>
      <c r="S64" s="222"/>
      <c r="T64" s="222"/>
    </row>
    <row r="65" spans="1:20" ht="10.15" customHeight="1">
      <c r="A65" s="319"/>
      <c r="B65" s="245" t="s">
        <v>46</v>
      </c>
      <c r="C65" s="274">
        <v>0</v>
      </c>
      <c r="D65" s="274">
        <v>0</v>
      </c>
      <c r="E65" s="274">
        <v>0</v>
      </c>
      <c r="F65" s="274">
        <v>0</v>
      </c>
      <c r="G65" s="274">
        <v>0</v>
      </c>
      <c r="H65" s="274">
        <v>811</v>
      </c>
      <c r="I65" s="274">
        <v>457</v>
      </c>
      <c r="J65" s="274">
        <v>100</v>
      </c>
      <c r="K65" s="274">
        <v>0</v>
      </c>
      <c r="L65" s="274"/>
      <c r="M65" s="274">
        <v>0</v>
      </c>
      <c r="N65" s="274">
        <v>875</v>
      </c>
      <c r="O65" s="275">
        <f t="shared" si="13"/>
        <v>2243</v>
      </c>
      <c r="P65" s="276">
        <f>O65/12</f>
        <v>186.91666666666666</v>
      </c>
      <c r="Q65" s="222"/>
      <c r="R65" s="222"/>
      <c r="S65" s="222"/>
      <c r="T65" s="222"/>
    </row>
    <row r="66" spans="1:20" ht="10.15" customHeight="1">
      <c r="A66" s="319" t="s">
        <v>27</v>
      </c>
      <c r="B66" s="320"/>
      <c r="C66" s="262">
        <f t="shared" ref="C66:N66" si="15">SUM(C59:C65)</f>
        <v>3265</v>
      </c>
      <c r="D66" s="262">
        <f t="shared" si="15"/>
        <v>3971</v>
      </c>
      <c r="E66" s="262">
        <f t="shared" si="15"/>
        <v>4085</v>
      </c>
      <c r="F66" s="262">
        <f t="shared" si="15"/>
        <v>4627</v>
      </c>
      <c r="G66" s="262">
        <f t="shared" si="15"/>
        <v>4173</v>
      </c>
      <c r="H66" s="262">
        <f t="shared" si="15"/>
        <v>5510</v>
      </c>
      <c r="I66" s="262">
        <f t="shared" si="15"/>
        <v>4463</v>
      </c>
      <c r="J66" s="262">
        <f t="shared" si="15"/>
        <v>4638</v>
      </c>
      <c r="K66" s="262">
        <f t="shared" si="15"/>
        <v>2655</v>
      </c>
      <c r="L66" s="262">
        <f t="shared" si="15"/>
        <v>5033</v>
      </c>
      <c r="M66" s="262">
        <f t="shared" si="15"/>
        <v>3256</v>
      </c>
      <c r="N66" s="262">
        <f t="shared" si="15"/>
        <v>6626</v>
      </c>
      <c r="O66" s="272">
        <f t="shared" si="13"/>
        <v>52302</v>
      </c>
      <c r="P66" s="273">
        <f>O66/12</f>
        <v>4358.5</v>
      </c>
      <c r="Q66" s="222"/>
      <c r="R66" s="222"/>
      <c r="S66" s="222"/>
      <c r="T66" s="222"/>
    </row>
    <row r="67" spans="1:20" ht="10.15" customHeight="1">
      <c r="A67" s="306"/>
      <c r="B67" s="307"/>
      <c r="C67" s="262"/>
      <c r="D67" s="277"/>
      <c r="E67" s="262"/>
      <c r="F67" s="262"/>
      <c r="G67" s="262"/>
      <c r="H67" s="262"/>
      <c r="I67" s="262"/>
      <c r="J67" s="262"/>
      <c r="K67" s="262"/>
      <c r="L67" s="262"/>
      <c r="M67" s="262"/>
      <c r="N67" s="262"/>
      <c r="O67" s="278"/>
      <c r="P67" s="279"/>
      <c r="Q67" s="222"/>
      <c r="R67" s="222"/>
      <c r="S67" s="222"/>
      <c r="T67" s="222"/>
    </row>
    <row r="68" spans="1:20" s="312" customFormat="1" ht="10.15" customHeight="1">
      <c r="A68" s="321" t="s">
        <v>47</v>
      </c>
      <c r="B68" s="322"/>
      <c r="C68" s="280">
        <f t="shared" ref="C68:N68" si="16">C66+C57+C52+C48+C42</f>
        <v>34707</v>
      </c>
      <c r="D68" s="280">
        <f t="shared" si="16"/>
        <v>31111</v>
      </c>
      <c r="E68" s="280">
        <f t="shared" si="16"/>
        <v>38304</v>
      </c>
      <c r="F68" s="280">
        <f t="shared" si="16"/>
        <v>31461</v>
      </c>
      <c r="G68" s="280">
        <f t="shared" si="16"/>
        <v>36294</v>
      </c>
      <c r="H68" s="280">
        <f t="shared" si="16"/>
        <v>38715</v>
      </c>
      <c r="I68" s="280">
        <f t="shared" si="16"/>
        <v>41681</v>
      </c>
      <c r="J68" s="280">
        <f t="shared" si="16"/>
        <v>35496</v>
      </c>
      <c r="K68" s="280">
        <f t="shared" si="16"/>
        <v>24772</v>
      </c>
      <c r="L68" s="280">
        <f t="shared" si="16"/>
        <v>23973</v>
      </c>
      <c r="M68" s="280">
        <f t="shared" si="16"/>
        <v>26023</v>
      </c>
      <c r="N68" s="280">
        <f t="shared" si="16"/>
        <v>27786</v>
      </c>
      <c r="O68" s="280">
        <f>SUM(C68:N68)</f>
        <v>390323</v>
      </c>
      <c r="P68" s="281">
        <f>O68/12</f>
        <v>32526.916666666668</v>
      </c>
      <c r="Q68" s="222"/>
      <c r="R68" s="222"/>
      <c r="S68" s="222"/>
      <c r="T68" s="222"/>
    </row>
    <row r="69" spans="1:20" ht="10.15" customHeight="1">
      <c r="A69" s="317"/>
      <c r="B69" s="318"/>
      <c r="C69" s="262"/>
      <c r="D69" s="262"/>
      <c r="E69" s="262"/>
      <c r="F69" s="262"/>
      <c r="G69" s="262"/>
      <c r="H69" s="262"/>
      <c r="I69" s="262"/>
      <c r="J69" s="262"/>
      <c r="K69" s="262"/>
      <c r="L69" s="262"/>
      <c r="M69" s="262"/>
      <c r="N69" s="262"/>
      <c r="O69" s="262"/>
      <c r="P69" s="263"/>
      <c r="Q69" s="222"/>
      <c r="R69" s="222"/>
      <c r="S69" s="222"/>
      <c r="T69" s="222"/>
    </row>
    <row r="70" spans="1:20" ht="10.15" customHeight="1">
      <c r="A70" s="315" t="s">
        <v>48</v>
      </c>
      <c r="B70" s="316"/>
      <c r="C70" s="262"/>
      <c r="D70" s="262"/>
      <c r="E70" s="262"/>
      <c r="F70" s="262"/>
      <c r="G70" s="262"/>
      <c r="H70" s="262"/>
      <c r="I70" s="262"/>
      <c r="J70" s="262"/>
      <c r="K70" s="262"/>
      <c r="L70" s="262"/>
      <c r="M70" s="262"/>
      <c r="N70" s="262"/>
      <c r="O70" s="262"/>
      <c r="P70" s="263"/>
      <c r="Q70" s="222"/>
      <c r="R70" s="222"/>
      <c r="S70" s="222"/>
      <c r="T70" s="222"/>
    </row>
    <row r="71" spans="1:20" ht="10.15" customHeight="1">
      <c r="A71" s="317"/>
      <c r="B71" s="318"/>
      <c r="C71" s="262"/>
      <c r="D71" s="262"/>
      <c r="E71" s="262"/>
      <c r="F71" s="262"/>
      <c r="G71" s="262"/>
      <c r="H71" s="262"/>
      <c r="I71" s="262"/>
      <c r="J71" s="262"/>
      <c r="K71" s="262"/>
      <c r="L71" s="262"/>
      <c r="M71" s="262"/>
      <c r="N71" s="262"/>
      <c r="O71" s="262"/>
      <c r="P71" s="263"/>
      <c r="Q71" s="222"/>
      <c r="R71" s="222"/>
      <c r="S71" s="222"/>
      <c r="T71" s="222"/>
    </row>
    <row r="72" spans="1:20" ht="10.15" customHeight="1" thickBot="1">
      <c r="A72" s="315" t="s">
        <v>6</v>
      </c>
      <c r="B72" s="316"/>
      <c r="C72" s="262">
        <f t="shared" ref="C72:N72" si="17">C30+C68</f>
        <v>92727</v>
      </c>
      <c r="D72" s="262">
        <f t="shared" si="17"/>
        <v>93301</v>
      </c>
      <c r="E72" s="262">
        <f t="shared" si="17"/>
        <v>84334</v>
      </c>
      <c r="F72" s="262">
        <f t="shared" si="17"/>
        <v>100371</v>
      </c>
      <c r="G72" s="262">
        <f t="shared" si="17"/>
        <v>90824</v>
      </c>
      <c r="H72" s="262">
        <f t="shared" si="17"/>
        <v>94035</v>
      </c>
      <c r="I72" s="262">
        <f t="shared" si="17"/>
        <v>105551</v>
      </c>
      <c r="J72" s="262">
        <f t="shared" si="17"/>
        <v>89166</v>
      </c>
      <c r="K72" s="262">
        <f t="shared" si="17"/>
        <v>100262</v>
      </c>
      <c r="L72" s="262">
        <f t="shared" si="17"/>
        <v>85353</v>
      </c>
      <c r="M72" s="262">
        <f t="shared" si="17"/>
        <v>83593</v>
      </c>
      <c r="N72" s="262">
        <f t="shared" si="17"/>
        <v>81766</v>
      </c>
      <c r="O72" s="262">
        <f>SUM(C72:N72)</f>
        <v>1101283</v>
      </c>
      <c r="P72" s="263">
        <f>O72/12</f>
        <v>91773.583333333328</v>
      </c>
      <c r="Q72" s="222"/>
      <c r="R72" s="222"/>
      <c r="S72" s="222"/>
      <c r="T72" s="222"/>
    </row>
    <row r="73" spans="1:20" ht="7.15" customHeight="1">
      <c r="A73" s="239"/>
      <c r="B73" s="240"/>
      <c r="C73" s="240"/>
      <c r="D73" s="240"/>
      <c r="E73" s="240"/>
      <c r="F73" s="240"/>
      <c r="G73" s="240"/>
      <c r="H73" s="240"/>
      <c r="I73" s="240"/>
      <c r="J73" s="240"/>
      <c r="K73" s="240"/>
      <c r="L73" s="240"/>
      <c r="M73" s="240"/>
      <c r="N73" s="240"/>
      <c r="O73" s="247"/>
      <c r="P73" s="248"/>
    </row>
    <row r="74" spans="1:20" ht="7.15" customHeight="1">
      <c r="A74" s="241"/>
      <c r="P74" s="250"/>
    </row>
    <row r="75" spans="1:20" ht="7.15" customHeight="1">
      <c r="A75" s="241"/>
      <c r="P75" s="250"/>
    </row>
    <row r="76" spans="1:20" ht="7.15" customHeight="1">
      <c r="A76" s="329" t="s">
        <v>0</v>
      </c>
      <c r="B76" s="330"/>
      <c r="C76" s="330"/>
      <c r="D76" s="330"/>
      <c r="E76" s="330"/>
      <c r="F76" s="330"/>
      <c r="G76" s="330"/>
      <c r="H76" s="330"/>
      <c r="I76" s="330"/>
      <c r="J76" s="330"/>
      <c r="K76" s="330"/>
      <c r="L76" s="330"/>
      <c r="M76" s="330"/>
      <c r="N76" s="330"/>
      <c r="O76" s="330"/>
      <c r="P76" s="331"/>
    </row>
    <row r="77" spans="1:20" ht="7.15" customHeight="1">
      <c r="A77" s="243"/>
      <c r="B77" s="244"/>
      <c r="C77" s="244"/>
      <c r="D77" s="244"/>
      <c r="E77" s="244"/>
      <c r="F77" s="244"/>
      <c r="G77" s="244"/>
      <c r="H77" s="244"/>
      <c r="I77" s="244"/>
      <c r="J77" s="244"/>
      <c r="K77" s="244"/>
      <c r="L77" s="244"/>
      <c r="M77" s="244"/>
      <c r="N77" s="244"/>
      <c r="O77" s="244"/>
      <c r="P77" s="251"/>
    </row>
    <row r="78" spans="1:20" ht="7.15" customHeight="1">
      <c r="A78" s="243"/>
      <c r="B78" s="244"/>
      <c r="C78" s="244"/>
      <c r="D78" s="244"/>
      <c r="E78" s="244"/>
      <c r="F78" s="244"/>
      <c r="G78" s="244"/>
      <c r="H78" s="244"/>
      <c r="I78" s="244"/>
      <c r="J78" s="244"/>
      <c r="K78" s="244"/>
      <c r="L78" s="244"/>
      <c r="M78" s="244"/>
      <c r="N78" s="244"/>
      <c r="O78" s="244"/>
      <c r="P78" s="251"/>
    </row>
    <row r="79" spans="1:20" ht="7.15" customHeight="1">
      <c r="A79" s="242"/>
      <c r="B79" s="222"/>
      <c r="C79" s="222"/>
      <c r="D79" s="222"/>
      <c r="E79" s="222"/>
      <c r="F79" s="222"/>
      <c r="G79" s="222"/>
      <c r="H79" s="222"/>
      <c r="I79" s="222"/>
      <c r="J79" s="222"/>
      <c r="K79" s="222"/>
      <c r="L79" s="222"/>
      <c r="M79" s="222"/>
      <c r="N79" s="222"/>
      <c r="O79" s="244"/>
      <c r="P79" s="251"/>
    </row>
    <row r="80" spans="1:20" ht="7.15" customHeight="1">
      <c r="A80" s="329" t="s">
        <v>49</v>
      </c>
      <c r="B80" s="330"/>
      <c r="C80" s="330"/>
      <c r="D80" s="330"/>
      <c r="E80" s="330"/>
      <c r="F80" s="330"/>
      <c r="G80" s="330"/>
      <c r="H80" s="330"/>
      <c r="I80" s="330"/>
      <c r="J80" s="330"/>
      <c r="K80" s="330"/>
      <c r="L80" s="330"/>
      <c r="M80" s="330"/>
      <c r="N80" s="330"/>
      <c r="O80" s="330"/>
      <c r="P80" s="331"/>
    </row>
    <row r="81" spans="1:17" ht="7.15" customHeight="1">
      <c r="A81" s="241"/>
      <c r="P81" s="250"/>
    </row>
    <row r="82" spans="1:17" ht="7.15" customHeight="1">
      <c r="A82" s="241"/>
      <c r="P82" s="250"/>
    </row>
    <row r="83" spans="1:17" ht="7.15" customHeight="1">
      <c r="A83" s="241"/>
      <c r="P83" s="250"/>
    </row>
    <row r="84" spans="1:17" ht="10.15" customHeight="1">
      <c r="A84" s="315"/>
      <c r="B84" s="316"/>
      <c r="C84" s="252">
        <v>42840</v>
      </c>
      <c r="D84" s="252">
        <v>42870</v>
      </c>
      <c r="E84" s="252">
        <v>42901</v>
      </c>
      <c r="F84" s="252">
        <v>42931</v>
      </c>
      <c r="G84" s="252">
        <v>42962</v>
      </c>
      <c r="H84" s="252">
        <v>42993</v>
      </c>
      <c r="I84" s="252">
        <v>43023</v>
      </c>
      <c r="J84" s="252">
        <v>43054</v>
      </c>
      <c r="K84" s="252">
        <v>43084</v>
      </c>
      <c r="L84" s="252">
        <v>43115</v>
      </c>
      <c r="M84" s="252">
        <v>43146</v>
      </c>
      <c r="N84" s="252">
        <v>43174</v>
      </c>
      <c r="O84" s="307" t="s">
        <v>2</v>
      </c>
      <c r="P84" s="253" t="s">
        <v>3</v>
      </c>
    </row>
    <row r="85" spans="1:17" ht="10.15" customHeight="1">
      <c r="A85" s="332"/>
      <c r="B85" s="333"/>
      <c r="C85" s="254"/>
      <c r="D85" s="254"/>
      <c r="E85" s="254"/>
      <c r="F85" s="254"/>
      <c r="G85" s="254"/>
      <c r="H85" s="254"/>
      <c r="I85" s="254"/>
      <c r="J85" s="254"/>
      <c r="K85" s="254"/>
      <c r="L85" s="254"/>
      <c r="M85" s="254"/>
      <c r="N85" s="254"/>
      <c r="O85" s="255"/>
      <c r="P85" s="256"/>
    </row>
    <row r="86" spans="1:17" s="310" customFormat="1" ht="10.15" customHeight="1">
      <c r="A86" s="317" t="s">
        <v>4</v>
      </c>
      <c r="B86" s="318"/>
      <c r="C86" s="282">
        <f t="shared" ref="C86:J86" si="18">C141/C145</f>
        <v>0.25318786413103223</v>
      </c>
      <c r="D86" s="282">
        <f t="shared" si="18"/>
        <v>0.3664912578509591</v>
      </c>
      <c r="E86" s="282">
        <f t="shared" si="18"/>
        <v>0.317341836364954</v>
      </c>
      <c r="F86" s="282">
        <f t="shared" si="18"/>
        <v>0.26283159610729634</v>
      </c>
      <c r="G86" s="282">
        <f t="shared" si="18"/>
        <v>0.42174314487556636</v>
      </c>
      <c r="H86" s="282">
        <f t="shared" si="18"/>
        <v>0.48279763251598767</v>
      </c>
      <c r="I86" s="282">
        <f t="shared" si="18"/>
        <v>0.53759421659033502</v>
      </c>
      <c r="J86" s="282">
        <f t="shared" si="18"/>
        <v>0.59182660695011347</v>
      </c>
      <c r="K86" s="282">
        <f>K141/K145</f>
        <v>0.3782686338704877</v>
      </c>
      <c r="L86" s="282">
        <f>L141/L145</f>
        <v>0.50486129359210186</v>
      </c>
      <c r="M86" s="282">
        <f>M141/M145</f>
        <v>0.52337977325286256</v>
      </c>
      <c r="N86" s="282">
        <f>N141/N145</f>
        <v>0.33514625171896872</v>
      </c>
      <c r="O86" s="283">
        <f>AVERAGE(C86:N86)</f>
        <v>0.41462250898505548</v>
      </c>
      <c r="P86" s="284">
        <f>AVERAGE(C86:N86)</f>
        <v>0.41462250898505548</v>
      </c>
      <c r="Q86" s="313"/>
    </row>
    <row r="87" spans="1:17" s="310" customFormat="1" ht="10.15" customHeight="1">
      <c r="A87" s="317" t="s">
        <v>5</v>
      </c>
      <c r="B87" s="318"/>
      <c r="C87" s="282">
        <f t="shared" ref="C87:J87" si="19">C103/C89</f>
        <v>0.74681213586896777</v>
      </c>
      <c r="D87" s="282">
        <f t="shared" si="19"/>
        <v>0.63350874214904096</v>
      </c>
      <c r="E87" s="282">
        <f t="shared" si="19"/>
        <v>0.68265816363504606</v>
      </c>
      <c r="F87" s="282">
        <f t="shared" si="19"/>
        <v>0.73716840389270366</v>
      </c>
      <c r="G87" s="282">
        <f t="shared" si="19"/>
        <v>0.5782568551244337</v>
      </c>
      <c r="H87" s="282">
        <f t="shared" si="19"/>
        <v>0.51720236748401238</v>
      </c>
      <c r="I87" s="282">
        <f t="shared" si="19"/>
        <v>0.46240578340966504</v>
      </c>
      <c r="J87" s="282">
        <f t="shared" si="19"/>
        <v>0.40817339304988648</v>
      </c>
      <c r="K87" s="282">
        <f>K103/K89</f>
        <v>0.6217313661295123</v>
      </c>
      <c r="L87" s="282">
        <f>L103/L89</f>
        <v>0.4951387064078982</v>
      </c>
      <c r="M87" s="282">
        <f>M103/M89</f>
        <v>0.47662022674713744</v>
      </c>
      <c r="N87" s="282">
        <f>N103/N89</f>
        <v>0.66485374828103128</v>
      </c>
      <c r="O87" s="283">
        <f>AVERAGE(C87:N87)</f>
        <v>0.58537749101494452</v>
      </c>
      <c r="P87" s="284">
        <f>AVERAGE(C87:N87)</f>
        <v>0.58537749101494452</v>
      </c>
    </row>
    <row r="88" spans="1:17" ht="10.15" customHeight="1">
      <c r="A88" s="306"/>
      <c r="B88" s="307"/>
      <c r="C88" s="255"/>
      <c r="D88" s="255"/>
      <c r="E88" s="255"/>
      <c r="F88" s="255"/>
      <c r="G88" s="255"/>
      <c r="H88" s="255"/>
      <c r="I88" s="255"/>
      <c r="J88" s="255"/>
      <c r="K88" s="255"/>
      <c r="L88" s="255"/>
      <c r="M88" s="255"/>
      <c r="N88" s="255"/>
      <c r="O88" s="255"/>
      <c r="P88" s="256"/>
    </row>
    <row r="89" spans="1:17" s="314" customFormat="1" ht="10.15" customHeight="1">
      <c r="A89" s="317" t="s">
        <v>6</v>
      </c>
      <c r="B89" s="318"/>
      <c r="C89" s="285">
        <f t="shared" ref="C89:N89" si="20">C145</f>
        <v>72776</v>
      </c>
      <c r="D89" s="285">
        <f t="shared" si="20"/>
        <v>88365</v>
      </c>
      <c r="E89" s="285">
        <f t="shared" si="20"/>
        <v>68995</v>
      </c>
      <c r="F89" s="285">
        <f t="shared" si="20"/>
        <v>80972</v>
      </c>
      <c r="G89" s="285">
        <f t="shared" si="20"/>
        <v>93142</v>
      </c>
      <c r="H89" s="285">
        <f t="shared" si="20"/>
        <v>83971</v>
      </c>
      <c r="I89" s="285">
        <f t="shared" si="20"/>
        <v>97382</v>
      </c>
      <c r="J89" s="285">
        <f t="shared" si="20"/>
        <v>80603</v>
      </c>
      <c r="K89" s="285">
        <f t="shared" si="20"/>
        <v>94076</v>
      </c>
      <c r="L89" s="285">
        <f t="shared" si="20"/>
        <v>106556</v>
      </c>
      <c r="M89" s="285">
        <f t="shared" si="20"/>
        <v>70916</v>
      </c>
      <c r="N89" s="285">
        <f t="shared" si="20"/>
        <v>80717</v>
      </c>
      <c r="O89" s="285">
        <f>SUM(C89:N89)</f>
        <v>1018471</v>
      </c>
      <c r="P89" s="286">
        <f>O89/12</f>
        <v>84872.583333333328</v>
      </c>
    </row>
    <row r="90" spans="1:17" ht="10.15" customHeight="1">
      <c r="A90" s="317"/>
      <c r="B90" s="318"/>
      <c r="C90" s="255"/>
      <c r="D90" s="255"/>
      <c r="E90" s="255"/>
      <c r="F90" s="255"/>
      <c r="G90" s="255"/>
      <c r="H90" s="255"/>
      <c r="I90" s="255"/>
      <c r="J90" s="255"/>
      <c r="K90" s="255"/>
      <c r="L90" s="255"/>
      <c r="M90" s="255"/>
      <c r="N90" s="255"/>
      <c r="O90" s="255"/>
      <c r="P90" s="256"/>
    </row>
    <row r="91" spans="1:17" ht="10.15" customHeight="1">
      <c r="A91" s="327" t="s">
        <v>7</v>
      </c>
      <c r="B91" s="328"/>
      <c r="C91" s="252"/>
      <c r="D91" s="252"/>
      <c r="E91" s="252"/>
      <c r="F91" s="252"/>
      <c r="G91" s="252"/>
      <c r="H91" s="252"/>
      <c r="I91" s="252"/>
      <c r="J91" s="252"/>
      <c r="K91" s="252"/>
      <c r="L91" s="252"/>
      <c r="M91" s="252"/>
      <c r="N91" s="252"/>
      <c r="O91" s="285"/>
      <c r="P91" s="286"/>
    </row>
    <row r="92" spans="1:17" ht="10.15" customHeight="1">
      <c r="A92" s="315"/>
      <c r="B92" s="316"/>
      <c r="C92" s="255"/>
      <c r="D92" s="255"/>
      <c r="E92" s="255"/>
      <c r="F92" s="255"/>
      <c r="G92" s="255"/>
      <c r="H92" s="255"/>
      <c r="I92" s="255"/>
      <c r="J92" s="255"/>
      <c r="K92" s="255"/>
      <c r="L92" s="255"/>
      <c r="M92" s="255"/>
      <c r="N92" s="255"/>
      <c r="O92" s="255"/>
      <c r="P92" s="256"/>
    </row>
    <row r="93" spans="1:17" ht="10.15" customHeight="1">
      <c r="A93" s="323" t="s">
        <v>8</v>
      </c>
      <c r="B93" s="324"/>
      <c r="C93" s="255"/>
      <c r="D93" s="255"/>
      <c r="E93" s="255"/>
      <c r="F93" s="255"/>
      <c r="G93" s="255"/>
      <c r="H93" s="255"/>
      <c r="I93" s="255"/>
      <c r="J93" s="255"/>
      <c r="K93" s="255"/>
      <c r="L93" s="255"/>
      <c r="M93" s="255"/>
      <c r="N93" s="255"/>
      <c r="O93" s="255"/>
      <c r="P93" s="256"/>
    </row>
    <row r="94" spans="1:17" ht="10.15" customHeight="1">
      <c r="A94" s="323" t="s">
        <v>9</v>
      </c>
      <c r="B94" s="324"/>
      <c r="C94" s="287">
        <v>48460</v>
      </c>
      <c r="D94" s="287">
        <v>50040</v>
      </c>
      <c r="E94" s="287">
        <v>42200</v>
      </c>
      <c r="F94" s="287">
        <v>52700</v>
      </c>
      <c r="G94" s="287">
        <v>42960</v>
      </c>
      <c r="H94" s="287">
        <v>38380</v>
      </c>
      <c r="I94" s="287">
        <v>39720</v>
      </c>
      <c r="J94" s="287">
        <v>28840</v>
      </c>
      <c r="K94" s="287">
        <v>51800</v>
      </c>
      <c r="L94" s="287">
        <v>46440</v>
      </c>
      <c r="M94" s="287">
        <v>28740</v>
      </c>
      <c r="N94" s="287">
        <v>48410</v>
      </c>
      <c r="O94" s="287">
        <f>SUM(C94:N94)</f>
        <v>518690</v>
      </c>
      <c r="P94" s="288">
        <f>O94/12</f>
        <v>43224.166666666664</v>
      </c>
    </row>
    <row r="95" spans="1:17" ht="10.15" customHeight="1">
      <c r="A95" s="323"/>
      <c r="B95" s="324"/>
      <c r="C95" s="287"/>
      <c r="D95" s="287"/>
      <c r="E95" s="287"/>
      <c r="F95" s="287"/>
      <c r="G95" s="287"/>
      <c r="H95" s="287"/>
      <c r="I95" s="287"/>
      <c r="J95" s="287"/>
      <c r="K95" s="287"/>
      <c r="L95" s="287"/>
      <c r="M95" s="287"/>
      <c r="N95" s="287"/>
      <c r="O95" s="287"/>
      <c r="P95" s="288"/>
    </row>
    <row r="96" spans="1:17" s="310" customFormat="1" ht="10.15" customHeight="1">
      <c r="A96" s="323" t="s">
        <v>10</v>
      </c>
      <c r="B96" s="324"/>
      <c r="C96" s="287"/>
      <c r="D96" s="287"/>
      <c r="E96" s="287"/>
      <c r="F96" s="287"/>
      <c r="G96" s="287"/>
      <c r="H96" s="287"/>
      <c r="I96" s="287"/>
      <c r="J96" s="287"/>
      <c r="K96" s="287"/>
      <c r="L96" s="287"/>
      <c r="M96" s="287"/>
      <c r="N96" s="287"/>
      <c r="O96" s="287"/>
      <c r="P96" s="288"/>
    </row>
    <row r="97" spans="1:20" s="310" customFormat="1" ht="10.15" customHeight="1">
      <c r="A97" s="323" t="s">
        <v>11</v>
      </c>
      <c r="B97" s="324"/>
      <c r="C97" s="289">
        <v>5890</v>
      </c>
      <c r="D97" s="289">
        <v>5940</v>
      </c>
      <c r="E97" s="289">
        <v>4900</v>
      </c>
      <c r="F97" s="289">
        <v>6990</v>
      </c>
      <c r="G97" s="289">
        <v>5500</v>
      </c>
      <c r="H97" s="289">
        <v>5050</v>
      </c>
      <c r="I97" s="289">
        <v>5310</v>
      </c>
      <c r="J97" s="289">
        <v>4060</v>
      </c>
      <c r="K97" s="289">
        <v>6690</v>
      </c>
      <c r="L97" s="289">
        <v>6320</v>
      </c>
      <c r="M97" s="289">
        <v>5060</v>
      </c>
      <c r="N97" s="289">
        <v>5030</v>
      </c>
      <c r="O97" s="287">
        <f>SUM(C97:N97)</f>
        <v>66740</v>
      </c>
      <c r="P97" s="288">
        <f>O97/12</f>
        <v>5561.666666666667</v>
      </c>
    </row>
    <row r="98" spans="1:20" s="310" customFormat="1" ht="10.15" customHeight="1">
      <c r="A98" s="323" t="s">
        <v>12</v>
      </c>
      <c r="B98" s="324"/>
      <c r="C98" s="289">
        <v>0</v>
      </c>
      <c r="D98" s="289">
        <v>0</v>
      </c>
      <c r="E98" s="289">
        <v>0</v>
      </c>
      <c r="F98" s="289">
        <v>0</v>
      </c>
      <c r="G98" s="289">
        <v>0</v>
      </c>
      <c r="H98" s="289">
        <v>0</v>
      </c>
      <c r="I98" s="289">
        <v>0</v>
      </c>
      <c r="J98" s="289">
        <v>0</v>
      </c>
      <c r="K98" s="289">
        <v>0</v>
      </c>
      <c r="L98" s="289">
        <v>0</v>
      </c>
      <c r="M98" s="289">
        <v>0</v>
      </c>
      <c r="N98" s="289">
        <v>225</v>
      </c>
      <c r="O98" s="287">
        <f>SUM(C98:N98)</f>
        <v>225</v>
      </c>
      <c r="P98" s="288">
        <f>O98/12</f>
        <v>18.75</v>
      </c>
    </row>
    <row r="99" spans="1:20" s="310" customFormat="1" ht="10.15" customHeight="1">
      <c r="A99" s="323" t="s">
        <v>13</v>
      </c>
      <c r="B99" s="324"/>
      <c r="C99" s="289">
        <v>0</v>
      </c>
      <c r="D99" s="289">
        <v>0</v>
      </c>
      <c r="E99" s="289">
        <v>0</v>
      </c>
      <c r="F99" s="289">
        <v>0</v>
      </c>
      <c r="G99" s="289">
        <v>0</v>
      </c>
      <c r="H99" s="289">
        <v>0</v>
      </c>
      <c r="I99" s="289">
        <v>0</v>
      </c>
      <c r="J99" s="289">
        <v>0</v>
      </c>
      <c r="K99" s="289">
        <v>0</v>
      </c>
      <c r="L99" s="289">
        <v>0</v>
      </c>
      <c r="M99" s="289">
        <v>0</v>
      </c>
      <c r="N99" s="289">
        <v>0</v>
      </c>
      <c r="O99" s="287">
        <f>SUM(C99:N99)</f>
        <v>0</v>
      </c>
      <c r="P99" s="288">
        <f>O99/12</f>
        <v>0</v>
      </c>
    </row>
    <row r="100" spans="1:20" s="310" customFormat="1" ht="10.15" customHeight="1">
      <c r="A100" s="323" t="s">
        <v>14</v>
      </c>
      <c r="B100" s="324"/>
      <c r="C100" s="289">
        <v>0</v>
      </c>
      <c r="D100" s="289">
        <v>0</v>
      </c>
      <c r="E100" s="289">
        <v>0</v>
      </c>
      <c r="F100" s="289">
        <v>0</v>
      </c>
      <c r="G100" s="289">
        <v>5400</v>
      </c>
      <c r="H100" s="289">
        <v>0</v>
      </c>
      <c r="I100" s="289">
        <v>0</v>
      </c>
      <c r="J100" s="289">
        <v>0</v>
      </c>
      <c r="K100" s="289">
        <v>0</v>
      </c>
      <c r="L100" s="289">
        <v>0</v>
      </c>
      <c r="M100" s="289">
        <v>0</v>
      </c>
      <c r="N100" s="289">
        <v>0</v>
      </c>
      <c r="O100" s="287">
        <f>SUM(C100:N100)</f>
        <v>5400</v>
      </c>
      <c r="P100" s="288">
        <f>O100/12</f>
        <v>450</v>
      </c>
    </row>
    <row r="101" spans="1:20" s="310" customFormat="1" ht="10.15" customHeight="1">
      <c r="A101" s="323" t="s">
        <v>15</v>
      </c>
      <c r="B101" s="324"/>
      <c r="C101" s="290">
        <f t="shared" ref="C101:N101" si="21">SUM(C97:C100)</f>
        <v>5890</v>
      </c>
      <c r="D101" s="290">
        <f t="shared" si="21"/>
        <v>5940</v>
      </c>
      <c r="E101" s="290">
        <f t="shared" si="21"/>
        <v>4900</v>
      </c>
      <c r="F101" s="290">
        <f t="shared" si="21"/>
        <v>6990</v>
      </c>
      <c r="G101" s="290">
        <f t="shared" si="21"/>
        <v>10900</v>
      </c>
      <c r="H101" s="290">
        <f t="shared" si="21"/>
        <v>5050</v>
      </c>
      <c r="I101" s="290">
        <f t="shared" si="21"/>
        <v>5310</v>
      </c>
      <c r="J101" s="290">
        <f t="shared" si="21"/>
        <v>4060</v>
      </c>
      <c r="K101" s="290">
        <f t="shared" si="21"/>
        <v>6690</v>
      </c>
      <c r="L101" s="290">
        <f t="shared" si="21"/>
        <v>6320</v>
      </c>
      <c r="M101" s="290">
        <f t="shared" si="21"/>
        <v>5060</v>
      </c>
      <c r="N101" s="290">
        <f t="shared" si="21"/>
        <v>5255</v>
      </c>
      <c r="O101" s="290">
        <f>SUM(C101:N101)</f>
        <v>72365</v>
      </c>
      <c r="P101" s="291">
        <f>O101/12</f>
        <v>6030.416666666667</v>
      </c>
    </row>
    <row r="102" spans="1:20" ht="10.15" customHeight="1">
      <c r="A102" s="317"/>
      <c r="B102" s="318"/>
      <c r="C102" s="255"/>
      <c r="D102" s="255"/>
      <c r="E102" s="255"/>
      <c r="F102" s="255"/>
      <c r="G102" s="255"/>
      <c r="H102" s="255"/>
      <c r="I102" s="255"/>
      <c r="J102" s="255"/>
      <c r="K102" s="255"/>
      <c r="L102" s="255"/>
      <c r="M102" s="255"/>
      <c r="N102" s="255"/>
      <c r="O102" s="255"/>
      <c r="P102" s="256"/>
    </row>
    <row r="103" spans="1:20" ht="10.15" customHeight="1">
      <c r="A103" s="325" t="s">
        <v>16</v>
      </c>
      <c r="B103" s="326"/>
      <c r="C103" s="290">
        <f t="shared" ref="C103:N103" si="22">C94+C101</f>
        <v>54350</v>
      </c>
      <c r="D103" s="290">
        <f t="shared" si="22"/>
        <v>55980</v>
      </c>
      <c r="E103" s="290">
        <f t="shared" si="22"/>
        <v>47100</v>
      </c>
      <c r="F103" s="290">
        <f t="shared" si="22"/>
        <v>59690</v>
      </c>
      <c r="G103" s="290">
        <f t="shared" si="22"/>
        <v>53860</v>
      </c>
      <c r="H103" s="290">
        <f t="shared" si="22"/>
        <v>43430</v>
      </c>
      <c r="I103" s="290">
        <f t="shared" si="22"/>
        <v>45030</v>
      </c>
      <c r="J103" s="290">
        <f t="shared" si="22"/>
        <v>32900</v>
      </c>
      <c r="K103" s="290">
        <f t="shared" si="22"/>
        <v>58490</v>
      </c>
      <c r="L103" s="290">
        <f t="shared" si="22"/>
        <v>52760</v>
      </c>
      <c r="M103" s="290">
        <f t="shared" si="22"/>
        <v>33800</v>
      </c>
      <c r="N103" s="290">
        <f t="shared" si="22"/>
        <v>53665</v>
      </c>
      <c r="O103" s="290">
        <f>SUM(C103:N103)</f>
        <v>591055</v>
      </c>
      <c r="P103" s="291">
        <f>O103/12</f>
        <v>49254.583333333336</v>
      </c>
    </row>
    <row r="104" spans="1:20" ht="10.15" customHeight="1">
      <c r="A104" s="317"/>
      <c r="B104" s="318"/>
      <c r="C104" s="255"/>
      <c r="D104" s="255"/>
      <c r="E104" s="255"/>
      <c r="F104" s="255"/>
      <c r="G104" s="255"/>
      <c r="H104" s="255"/>
      <c r="I104" s="255"/>
      <c r="J104" s="255"/>
      <c r="K104" s="255"/>
      <c r="L104" s="255"/>
      <c r="M104" s="255"/>
      <c r="N104" s="255"/>
      <c r="O104" s="255"/>
      <c r="P104" s="256"/>
    </row>
    <row r="105" spans="1:20" ht="10.15" customHeight="1">
      <c r="A105" s="321" t="s">
        <v>17</v>
      </c>
      <c r="B105" s="322"/>
      <c r="C105" s="252"/>
      <c r="D105" s="252"/>
      <c r="E105" s="252"/>
      <c r="F105" s="252"/>
      <c r="G105" s="252"/>
      <c r="H105" s="252"/>
      <c r="I105" s="252"/>
      <c r="J105" s="252"/>
      <c r="K105" s="252"/>
      <c r="L105" s="252"/>
      <c r="M105" s="252"/>
      <c r="N105" s="252"/>
      <c r="O105" s="252"/>
      <c r="P105" s="292"/>
    </row>
    <row r="106" spans="1:20" ht="10.15" customHeight="1">
      <c r="A106" s="315"/>
      <c r="B106" s="316"/>
      <c r="C106" s="255"/>
      <c r="D106" s="255"/>
      <c r="E106" s="255"/>
      <c r="F106" s="255"/>
      <c r="G106" s="255"/>
      <c r="H106" s="255"/>
      <c r="I106" s="255"/>
      <c r="J106" s="255"/>
      <c r="K106" s="255"/>
      <c r="L106" s="255"/>
      <c r="M106" s="255"/>
      <c r="N106" s="255"/>
      <c r="O106" s="255"/>
      <c r="P106" s="256"/>
    </row>
    <row r="107" spans="1:20" ht="10.15" customHeight="1">
      <c r="A107" s="319" t="s">
        <v>18</v>
      </c>
      <c r="B107" s="245" t="s">
        <v>19</v>
      </c>
      <c r="C107" s="293">
        <v>1355</v>
      </c>
      <c r="D107" s="293">
        <v>1422</v>
      </c>
      <c r="E107" s="293">
        <v>1244</v>
      </c>
      <c r="F107" s="293">
        <v>1331</v>
      </c>
      <c r="G107" s="293">
        <v>1885</v>
      </c>
      <c r="H107" s="293">
        <v>1295</v>
      </c>
      <c r="I107" s="293">
        <v>1095</v>
      </c>
      <c r="J107" s="293">
        <v>2298</v>
      </c>
      <c r="K107" s="293">
        <v>1913</v>
      </c>
      <c r="L107" s="293">
        <v>2706</v>
      </c>
      <c r="M107" s="293">
        <v>1236</v>
      </c>
      <c r="N107" s="293">
        <v>2011</v>
      </c>
      <c r="O107" s="294">
        <f t="shared" ref="O107:O115" si="23">SUM(C107:N107)</f>
        <v>19791</v>
      </c>
      <c r="P107" s="295">
        <f t="shared" ref="P107:P115" si="24">O107/12</f>
        <v>1649.25</v>
      </c>
      <c r="Q107" s="222"/>
      <c r="R107" s="222"/>
      <c r="S107" s="222"/>
      <c r="T107" s="222"/>
    </row>
    <row r="108" spans="1:20" ht="10.15" customHeight="1">
      <c r="A108" s="319"/>
      <c r="B108" s="245" t="s">
        <v>20</v>
      </c>
      <c r="C108" s="293">
        <v>0</v>
      </c>
      <c r="D108" s="293">
        <v>0</v>
      </c>
      <c r="E108" s="293">
        <v>0</v>
      </c>
      <c r="F108" s="293">
        <v>0</v>
      </c>
      <c r="G108" s="293">
        <v>0</v>
      </c>
      <c r="H108" s="293">
        <v>0</v>
      </c>
      <c r="I108" s="293">
        <v>0</v>
      </c>
      <c r="J108" s="293">
        <v>0</v>
      </c>
      <c r="K108" s="293">
        <v>0</v>
      </c>
      <c r="L108" s="293">
        <v>0</v>
      </c>
      <c r="M108" s="293">
        <v>0</v>
      </c>
      <c r="N108" s="293">
        <v>0</v>
      </c>
      <c r="O108" s="294">
        <f t="shared" si="23"/>
        <v>0</v>
      </c>
      <c r="P108" s="295">
        <f t="shared" si="24"/>
        <v>0</v>
      </c>
      <c r="Q108" s="222"/>
      <c r="R108" s="222"/>
      <c r="S108" s="222"/>
      <c r="T108" s="222"/>
    </row>
    <row r="109" spans="1:20" ht="10.15" customHeight="1">
      <c r="A109" s="319"/>
      <c r="B109" s="245" t="s">
        <v>21</v>
      </c>
      <c r="C109" s="296">
        <v>611</v>
      </c>
      <c r="D109" s="296">
        <v>718</v>
      </c>
      <c r="E109" s="296">
        <v>533</v>
      </c>
      <c r="F109" s="296">
        <v>423</v>
      </c>
      <c r="G109" s="296">
        <v>470</v>
      </c>
      <c r="H109" s="296">
        <v>240</v>
      </c>
      <c r="I109" s="296">
        <v>110</v>
      </c>
      <c r="J109" s="296">
        <v>320</v>
      </c>
      <c r="K109" s="296">
        <v>115</v>
      </c>
      <c r="L109" s="296">
        <v>130</v>
      </c>
      <c r="M109" s="296">
        <v>137</v>
      </c>
      <c r="N109" s="296">
        <v>131</v>
      </c>
      <c r="O109" s="297">
        <f t="shared" si="23"/>
        <v>3938</v>
      </c>
      <c r="P109" s="298">
        <f t="shared" si="24"/>
        <v>328.16666666666669</v>
      </c>
      <c r="Q109" s="222"/>
      <c r="R109" s="222"/>
      <c r="S109" s="222"/>
      <c r="T109" s="222"/>
    </row>
    <row r="110" spans="1:20" ht="10.15" customHeight="1">
      <c r="A110" s="319"/>
      <c r="B110" s="245" t="s">
        <v>22</v>
      </c>
      <c r="C110" s="296">
        <v>0</v>
      </c>
      <c r="D110" s="296">
        <v>3461</v>
      </c>
      <c r="E110" s="296">
        <v>0</v>
      </c>
      <c r="F110" s="296">
        <v>1200</v>
      </c>
      <c r="G110" s="296">
        <v>1570</v>
      </c>
      <c r="H110" s="296">
        <v>1430</v>
      </c>
      <c r="I110" s="296">
        <v>2720</v>
      </c>
      <c r="J110" s="296">
        <v>3970</v>
      </c>
      <c r="K110" s="296">
        <v>980</v>
      </c>
      <c r="L110" s="296">
        <v>3390</v>
      </c>
      <c r="M110" s="296">
        <v>1440</v>
      </c>
      <c r="N110" s="296">
        <v>1080</v>
      </c>
      <c r="O110" s="297">
        <f t="shared" si="23"/>
        <v>21241</v>
      </c>
      <c r="P110" s="298">
        <f t="shared" si="24"/>
        <v>1770.0833333333333</v>
      </c>
      <c r="Q110" s="222"/>
      <c r="R110" s="222"/>
      <c r="S110" s="222"/>
      <c r="T110" s="222"/>
    </row>
    <row r="111" spans="1:20" ht="10.15" customHeight="1">
      <c r="A111" s="319"/>
      <c r="B111" s="245" t="s">
        <v>23</v>
      </c>
      <c r="C111" s="296">
        <v>0</v>
      </c>
      <c r="D111" s="296">
        <v>140</v>
      </c>
      <c r="E111" s="296">
        <v>0</v>
      </c>
      <c r="F111" s="296">
        <v>0</v>
      </c>
      <c r="G111" s="296">
        <v>480</v>
      </c>
      <c r="H111" s="296">
        <v>230</v>
      </c>
      <c r="I111" s="296">
        <v>620</v>
      </c>
      <c r="J111" s="296">
        <v>365</v>
      </c>
      <c r="K111" s="296">
        <v>410</v>
      </c>
      <c r="L111" s="296">
        <v>711</v>
      </c>
      <c r="M111" s="296">
        <v>180</v>
      </c>
      <c r="N111" s="296">
        <v>320</v>
      </c>
      <c r="O111" s="297">
        <f t="shared" si="23"/>
        <v>3456</v>
      </c>
      <c r="P111" s="298">
        <f t="shared" si="24"/>
        <v>288</v>
      </c>
      <c r="Q111" s="222"/>
      <c r="R111" s="222"/>
      <c r="S111" s="222"/>
      <c r="T111" s="222"/>
    </row>
    <row r="112" spans="1:20" ht="10.15" customHeight="1">
      <c r="A112" s="319"/>
      <c r="B112" s="245" t="s">
        <v>24</v>
      </c>
      <c r="C112" s="296"/>
      <c r="D112" s="296"/>
      <c r="E112" s="296"/>
      <c r="F112" s="296"/>
      <c r="G112" s="296"/>
      <c r="H112" s="296"/>
      <c r="I112" s="296">
        <f>704+120</f>
        <v>824</v>
      </c>
      <c r="J112" s="296">
        <f>0+50</f>
        <v>50</v>
      </c>
      <c r="K112" s="296">
        <f>0+36</f>
        <v>36</v>
      </c>
      <c r="L112" s="296">
        <f>0+108</f>
        <v>108</v>
      </c>
      <c r="M112" s="296">
        <f>0+77</f>
        <v>77</v>
      </c>
      <c r="N112" s="296">
        <f>0+74</f>
        <v>74</v>
      </c>
      <c r="O112" s="297">
        <f t="shared" si="23"/>
        <v>1169</v>
      </c>
      <c r="P112" s="298">
        <f t="shared" si="24"/>
        <v>97.416666666666671</v>
      </c>
      <c r="Q112" s="222"/>
      <c r="R112" s="222"/>
      <c r="S112" s="222"/>
      <c r="T112" s="222"/>
    </row>
    <row r="113" spans="1:20" ht="10.15" customHeight="1">
      <c r="A113" s="319"/>
      <c r="B113" s="245" t="s">
        <v>25</v>
      </c>
      <c r="C113" s="296"/>
      <c r="D113" s="296"/>
      <c r="E113" s="296"/>
      <c r="F113" s="296"/>
      <c r="G113" s="296"/>
      <c r="H113" s="296"/>
      <c r="I113" s="296">
        <v>426</v>
      </c>
      <c r="J113" s="296">
        <v>108</v>
      </c>
      <c r="K113" s="296">
        <v>555</v>
      </c>
      <c r="L113" s="296">
        <v>718</v>
      </c>
      <c r="M113" s="296">
        <v>605</v>
      </c>
      <c r="N113" s="296">
        <v>430</v>
      </c>
      <c r="O113" s="297">
        <f t="shared" si="23"/>
        <v>2842</v>
      </c>
      <c r="P113" s="298">
        <f t="shared" si="24"/>
        <v>236.83333333333334</v>
      </c>
      <c r="Q113" s="222"/>
      <c r="R113" s="222"/>
      <c r="S113" s="222"/>
      <c r="T113" s="222"/>
    </row>
    <row r="114" spans="1:20" ht="10.15" customHeight="1">
      <c r="A114" s="319"/>
      <c r="B114" s="245" t="s">
        <v>26</v>
      </c>
      <c r="C114" s="296"/>
      <c r="D114" s="296"/>
      <c r="E114" s="296"/>
      <c r="F114" s="296"/>
      <c r="G114" s="296"/>
      <c r="H114" s="296"/>
      <c r="I114" s="296">
        <v>47</v>
      </c>
      <c r="J114" s="296">
        <v>49</v>
      </c>
      <c r="K114" s="296">
        <v>36</v>
      </c>
      <c r="L114" s="296">
        <v>50</v>
      </c>
      <c r="M114" s="296">
        <v>53</v>
      </c>
      <c r="N114" s="296">
        <v>16</v>
      </c>
      <c r="O114" s="297">
        <f t="shared" si="23"/>
        <v>251</v>
      </c>
      <c r="P114" s="298">
        <f t="shared" si="24"/>
        <v>20.916666666666668</v>
      </c>
      <c r="Q114" s="222"/>
      <c r="R114" s="222"/>
      <c r="S114" s="222"/>
      <c r="T114" s="222"/>
    </row>
    <row r="115" spans="1:20" ht="10.15" customHeight="1">
      <c r="A115" s="319" t="s">
        <v>27</v>
      </c>
      <c r="B115" s="320"/>
      <c r="C115" s="297">
        <f t="shared" ref="C115:N115" si="25">SUM(C107:C114)</f>
        <v>1966</v>
      </c>
      <c r="D115" s="297">
        <f t="shared" si="25"/>
        <v>5741</v>
      </c>
      <c r="E115" s="297">
        <f t="shared" si="25"/>
        <v>1777</v>
      </c>
      <c r="F115" s="297">
        <f t="shared" si="25"/>
        <v>2954</v>
      </c>
      <c r="G115" s="297">
        <f t="shared" si="25"/>
        <v>4405</v>
      </c>
      <c r="H115" s="297">
        <f t="shared" si="25"/>
        <v>3195</v>
      </c>
      <c r="I115" s="297">
        <f t="shared" si="25"/>
        <v>5842</v>
      </c>
      <c r="J115" s="297">
        <f t="shared" si="25"/>
        <v>7160</v>
      </c>
      <c r="K115" s="297">
        <f t="shared" si="25"/>
        <v>4045</v>
      </c>
      <c r="L115" s="297">
        <f t="shared" si="25"/>
        <v>7813</v>
      </c>
      <c r="M115" s="297">
        <f t="shared" si="25"/>
        <v>3728</v>
      </c>
      <c r="N115" s="297">
        <f t="shared" si="25"/>
        <v>4062</v>
      </c>
      <c r="O115" s="297">
        <f t="shared" si="23"/>
        <v>52688</v>
      </c>
      <c r="P115" s="298">
        <f t="shared" si="24"/>
        <v>4390.666666666667</v>
      </c>
      <c r="Q115" s="222"/>
      <c r="R115" s="222"/>
      <c r="S115" s="222"/>
      <c r="T115" s="222"/>
    </row>
    <row r="116" spans="1:20" ht="10.15" customHeight="1">
      <c r="A116" s="308"/>
      <c r="B116" s="246"/>
      <c r="C116" s="297"/>
      <c r="D116" s="297"/>
      <c r="E116" s="297"/>
      <c r="F116" s="297"/>
      <c r="G116" s="297"/>
      <c r="H116" s="297"/>
      <c r="I116" s="297"/>
      <c r="J116" s="297"/>
      <c r="K116" s="297"/>
      <c r="L116" s="297"/>
      <c r="M116" s="297"/>
      <c r="N116" s="297"/>
      <c r="O116" s="297"/>
      <c r="P116" s="298"/>
      <c r="Q116" s="222"/>
      <c r="R116" s="222"/>
      <c r="S116" s="222"/>
      <c r="T116" s="222"/>
    </row>
    <row r="117" spans="1:20" ht="10.15" customHeight="1">
      <c r="A117" s="319" t="s">
        <v>28</v>
      </c>
      <c r="B117" s="245" t="s">
        <v>29</v>
      </c>
      <c r="C117" s="296">
        <v>7972</v>
      </c>
      <c r="D117" s="296">
        <v>15070</v>
      </c>
      <c r="E117" s="296">
        <v>103</v>
      </c>
      <c r="F117" s="296">
        <v>154</v>
      </c>
      <c r="G117" s="296">
        <v>10280</v>
      </c>
      <c r="H117" s="296">
        <v>17166</v>
      </c>
      <c r="I117" s="296">
        <v>486</v>
      </c>
      <c r="J117" s="296">
        <v>2146</v>
      </c>
      <c r="K117" s="296">
        <v>1709</v>
      </c>
      <c r="L117" s="296">
        <v>3180</v>
      </c>
      <c r="M117" s="296">
        <v>1220</v>
      </c>
      <c r="N117" s="296">
        <v>1498</v>
      </c>
      <c r="O117" s="297">
        <f>SUM(C117:N117)</f>
        <v>60984</v>
      </c>
      <c r="P117" s="298">
        <f>O117/12</f>
        <v>5082</v>
      </c>
      <c r="Q117" s="222"/>
      <c r="R117" s="222"/>
      <c r="S117" s="222"/>
      <c r="T117" s="222"/>
    </row>
    <row r="118" spans="1:20" ht="10.15" customHeight="1">
      <c r="A118" s="319"/>
      <c r="B118" s="245" t="s">
        <v>30</v>
      </c>
      <c r="C118" s="296">
        <v>0</v>
      </c>
      <c r="D118" s="296">
        <v>0</v>
      </c>
      <c r="E118" s="296">
        <v>7360</v>
      </c>
      <c r="F118" s="296">
        <v>7520</v>
      </c>
      <c r="G118" s="296">
        <v>0</v>
      </c>
      <c r="H118" s="296">
        <v>0</v>
      </c>
      <c r="I118" s="296">
        <v>18140</v>
      </c>
      <c r="J118" s="296">
        <v>18040</v>
      </c>
      <c r="K118" s="296">
        <v>17360</v>
      </c>
      <c r="L118" s="296">
        <v>15280</v>
      </c>
      <c r="M118" s="296">
        <v>14440</v>
      </c>
      <c r="N118" s="296">
        <v>3260</v>
      </c>
      <c r="O118" s="297">
        <f>SUM(C118:N118)</f>
        <v>101400</v>
      </c>
      <c r="P118" s="298">
        <f>O118/12</f>
        <v>8450</v>
      </c>
      <c r="Q118" s="222"/>
      <c r="R118" s="222"/>
      <c r="S118" s="222"/>
      <c r="T118" s="222"/>
    </row>
    <row r="119" spans="1:20" ht="10.15" customHeight="1">
      <c r="A119" s="319"/>
      <c r="B119" s="245" t="s">
        <v>31</v>
      </c>
      <c r="C119" s="296">
        <v>4178</v>
      </c>
      <c r="D119" s="296">
        <v>4037</v>
      </c>
      <c r="E119" s="296">
        <v>4717</v>
      </c>
      <c r="F119" s="296">
        <v>3906</v>
      </c>
      <c r="G119" s="296">
        <v>5860</v>
      </c>
      <c r="H119" s="296">
        <v>5900</v>
      </c>
      <c r="I119" s="296">
        <v>8773</v>
      </c>
      <c r="J119" s="296">
        <v>5260</v>
      </c>
      <c r="K119" s="296">
        <v>4408</v>
      </c>
      <c r="L119" s="296">
        <v>7000</v>
      </c>
      <c r="M119" s="296">
        <v>4700</v>
      </c>
      <c r="N119" s="296">
        <v>4821</v>
      </c>
      <c r="O119" s="297">
        <f>SUM(C119:N119)</f>
        <v>63560</v>
      </c>
      <c r="P119" s="298">
        <f>O119/12</f>
        <v>5296.666666666667</v>
      </c>
      <c r="Q119" s="222"/>
      <c r="R119" s="222"/>
      <c r="S119" s="222"/>
      <c r="T119" s="222"/>
    </row>
    <row r="120" spans="1:20" ht="10.15" customHeight="1">
      <c r="A120" s="319"/>
      <c r="B120" s="245" t="s">
        <v>32</v>
      </c>
      <c r="C120" s="296">
        <v>160</v>
      </c>
      <c r="D120" s="296">
        <v>300</v>
      </c>
      <c r="E120" s="296">
        <v>320</v>
      </c>
      <c r="F120" s="296">
        <v>220</v>
      </c>
      <c r="G120" s="296">
        <v>1740</v>
      </c>
      <c r="H120" s="296">
        <v>760</v>
      </c>
      <c r="I120" s="296">
        <v>1392</v>
      </c>
      <c r="J120" s="296">
        <v>879</v>
      </c>
      <c r="K120" s="296">
        <v>1140</v>
      </c>
      <c r="L120" s="296">
        <v>1460</v>
      </c>
      <c r="M120" s="296">
        <v>720</v>
      </c>
      <c r="N120" s="296">
        <v>600</v>
      </c>
      <c r="O120" s="297">
        <f>SUM(C120:N120)</f>
        <v>9691</v>
      </c>
      <c r="P120" s="298">
        <f>O120/12</f>
        <v>807.58333333333337</v>
      </c>
      <c r="Q120" s="222"/>
      <c r="R120" s="222"/>
      <c r="S120" s="222"/>
      <c r="T120" s="222"/>
    </row>
    <row r="121" spans="1:20" ht="10.15" customHeight="1">
      <c r="A121" s="319" t="s">
        <v>27</v>
      </c>
      <c r="B121" s="320"/>
      <c r="C121" s="297">
        <f t="shared" ref="C121:N121" si="26">SUM(C117:C120)</f>
        <v>12310</v>
      </c>
      <c r="D121" s="297">
        <f t="shared" si="26"/>
        <v>19407</v>
      </c>
      <c r="E121" s="297">
        <f t="shared" si="26"/>
        <v>12500</v>
      </c>
      <c r="F121" s="297">
        <f t="shared" si="26"/>
        <v>11800</v>
      </c>
      <c r="G121" s="297">
        <f t="shared" si="26"/>
        <v>17880</v>
      </c>
      <c r="H121" s="297">
        <f t="shared" si="26"/>
        <v>23826</v>
      </c>
      <c r="I121" s="297">
        <f t="shared" si="26"/>
        <v>28791</v>
      </c>
      <c r="J121" s="297">
        <f t="shared" si="26"/>
        <v>26325</v>
      </c>
      <c r="K121" s="297">
        <f t="shared" si="26"/>
        <v>24617</v>
      </c>
      <c r="L121" s="297">
        <f t="shared" si="26"/>
        <v>26920</v>
      </c>
      <c r="M121" s="297">
        <f t="shared" si="26"/>
        <v>21080</v>
      </c>
      <c r="N121" s="297">
        <f t="shared" si="26"/>
        <v>10179</v>
      </c>
      <c r="O121" s="297">
        <f>SUM(C121:N121)</f>
        <v>235635</v>
      </c>
      <c r="P121" s="298">
        <f>O121/12</f>
        <v>19636.25</v>
      </c>
      <c r="Q121" s="222"/>
      <c r="R121" s="222"/>
      <c r="S121" s="222"/>
      <c r="T121" s="222"/>
    </row>
    <row r="122" spans="1:20" ht="10.15" customHeight="1">
      <c r="A122" s="308"/>
      <c r="B122" s="246"/>
      <c r="C122" s="297"/>
      <c r="D122" s="297"/>
      <c r="E122" s="297"/>
      <c r="F122" s="297"/>
      <c r="G122" s="297"/>
      <c r="H122" s="297"/>
      <c r="I122" s="297"/>
      <c r="J122" s="297"/>
      <c r="K122" s="297"/>
      <c r="L122" s="297"/>
      <c r="M122" s="297"/>
      <c r="N122" s="297"/>
      <c r="O122" s="297"/>
      <c r="P122" s="298"/>
      <c r="Q122" s="222"/>
      <c r="R122" s="222"/>
      <c r="S122" s="222"/>
      <c r="T122" s="222"/>
    </row>
    <row r="123" spans="1:20" ht="10.15" customHeight="1">
      <c r="A123" s="319" t="s">
        <v>33</v>
      </c>
      <c r="B123" s="245" t="s">
        <v>34</v>
      </c>
      <c r="C123" s="296">
        <v>0</v>
      </c>
      <c r="D123" s="296">
        <v>0</v>
      </c>
      <c r="E123" s="296">
        <v>0</v>
      </c>
      <c r="F123" s="296">
        <v>0</v>
      </c>
      <c r="G123" s="296">
        <v>0</v>
      </c>
      <c r="H123" s="296">
        <v>0</v>
      </c>
      <c r="I123" s="296">
        <v>0</v>
      </c>
      <c r="J123" s="296">
        <v>0</v>
      </c>
      <c r="K123" s="296">
        <v>0</v>
      </c>
      <c r="L123" s="296">
        <v>0</v>
      </c>
      <c r="M123" s="296">
        <v>0</v>
      </c>
      <c r="N123" s="296">
        <v>0</v>
      </c>
      <c r="O123" s="294">
        <f>SUM(C123:N123)</f>
        <v>0</v>
      </c>
      <c r="P123" s="295">
        <f>O123/12</f>
        <v>0</v>
      </c>
      <c r="Q123" s="222"/>
      <c r="R123" s="222"/>
      <c r="S123" s="222"/>
      <c r="T123" s="222"/>
    </row>
    <row r="124" spans="1:20" ht="10.15" customHeight="1">
      <c r="A124" s="319"/>
      <c r="B124" s="245" t="s">
        <v>35</v>
      </c>
      <c r="C124" s="296">
        <v>0</v>
      </c>
      <c r="D124" s="296">
        <v>0</v>
      </c>
      <c r="E124" s="296">
        <v>0</v>
      </c>
      <c r="F124" s="296">
        <v>0</v>
      </c>
      <c r="G124" s="296">
        <v>0</v>
      </c>
      <c r="H124" s="296">
        <v>0</v>
      </c>
      <c r="I124" s="296">
        <v>0</v>
      </c>
      <c r="J124" s="296">
        <v>0</v>
      </c>
      <c r="K124" s="296">
        <v>0</v>
      </c>
      <c r="L124" s="296">
        <v>0</v>
      </c>
      <c r="M124" s="296">
        <v>0</v>
      </c>
      <c r="N124" s="296">
        <v>0</v>
      </c>
      <c r="O124" s="294">
        <f>SUM(C124:N124)</f>
        <v>0</v>
      </c>
      <c r="P124" s="295">
        <f>O124/12</f>
        <v>0</v>
      </c>
      <c r="Q124" s="222"/>
      <c r="R124" s="222"/>
      <c r="S124" s="222"/>
      <c r="T124" s="222"/>
    </row>
    <row r="125" spans="1:20" ht="10.15" customHeight="1">
      <c r="A125" s="319" t="s">
        <v>27</v>
      </c>
      <c r="B125" s="320"/>
      <c r="C125" s="297">
        <f>SUM(C123:C124)</f>
        <v>0</v>
      </c>
      <c r="D125" s="297">
        <f t="shared" ref="D125:N125" si="27">SUM(D123:D124)</f>
        <v>0</v>
      </c>
      <c r="E125" s="297">
        <f t="shared" si="27"/>
        <v>0</v>
      </c>
      <c r="F125" s="297">
        <f t="shared" si="27"/>
        <v>0</v>
      </c>
      <c r="G125" s="297">
        <f t="shared" si="27"/>
        <v>0</v>
      </c>
      <c r="H125" s="297">
        <f t="shared" si="27"/>
        <v>0</v>
      </c>
      <c r="I125" s="297">
        <f t="shared" si="27"/>
        <v>0</v>
      </c>
      <c r="J125" s="297">
        <f t="shared" si="27"/>
        <v>0</v>
      </c>
      <c r="K125" s="297">
        <f t="shared" si="27"/>
        <v>0</v>
      </c>
      <c r="L125" s="297">
        <f t="shared" si="27"/>
        <v>0</v>
      </c>
      <c r="M125" s="297">
        <f t="shared" si="27"/>
        <v>0</v>
      </c>
      <c r="N125" s="297">
        <f t="shared" si="27"/>
        <v>0</v>
      </c>
      <c r="O125" s="294">
        <f>SUM(C125:N125)</f>
        <v>0</v>
      </c>
      <c r="P125" s="295">
        <f>O125/12</f>
        <v>0</v>
      </c>
      <c r="Q125" s="222"/>
      <c r="R125" s="222"/>
      <c r="S125" s="222"/>
      <c r="T125" s="222"/>
    </row>
    <row r="126" spans="1:20" ht="10.15" customHeight="1">
      <c r="A126" s="308"/>
      <c r="B126" s="246"/>
      <c r="C126" s="297"/>
      <c r="D126" s="297"/>
      <c r="E126" s="297"/>
      <c r="F126" s="297"/>
      <c r="G126" s="297"/>
      <c r="H126" s="297"/>
      <c r="I126" s="297"/>
      <c r="J126" s="297"/>
      <c r="K126" s="297"/>
      <c r="L126" s="297"/>
      <c r="M126" s="297"/>
      <c r="N126" s="297"/>
      <c r="O126" s="294"/>
      <c r="P126" s="295"/>
      <c r="Q126" s="222"/>
      <c r="R126" s="222"/>
      <c r="S126" s="222"/>
      <c r="T126" s="222"/>
    </row>
    <row r="127" spans="1:20" ht="10.15" customHeight="1">
      <c r="A127" s="319" t="s">
        <v>36</v>
      </c>
      <c r="B127" s="245" t="s">
        <v>37</v>
      </c>
      <c r="C127" s="296">
        <v>0</v>
      </c>
      <c r="D127" s="296">
        <v>0</v>
      </c>
      <c r="E127" s="296">
        <v>0</v>
      </c>
      <c r="F127" s="296">
        <v>0</v>
      </c>
      <c r="G127" s="296">
        <v>3720</v>
      </c>
      <c r="H127" s="296">
        <v>0</v>
      </c>
      <c r="I127" s="296">
        <v>0</v>
      </c>
      <c r="J127" s="296">
        <v>0</v>
      </c>
      <c r="K127" s="296">
        <v>0</v>
      </c>
      <c r="L127" s="296">
        <v>0</v>
      </c>
      <c r="M127" s="296">
        <v>0</v>
      </c>
      <c r="N127" s="296">
        <v>0</v>
      </c>
      <c r="O127" s="294">
        <f>SUM(C127:N127)</f>
        <v>3720</v>
      </c>
      <c r="P127" s="295">
        <f>O127/12</f>
        <v>310</v>
      </c>
      <c r="Q127" s="222"/>
      <c r="R127" s="222"/>
      <c r="S127" s="222"/>
      <c r="T127" s="222"/>
    </row>
    <row r="128" spans="1:20" ht="10.15" customHeight="1">
      <c r="A128" s="319"/>
      <c r="B128" s="245" t="s">
        <v>38</v>
      </c>
      <c r="C128" s="296">
        <v>540</v>
      </c>
      <c r="D128" s="296">
        <v>520</v>
      </c>
      <c r="E128" s="296">
        <v>460</v>
      </c>
      <c r="F128" s="296">
        <v>400</v>
      </c>
      <c r="G128" s="296">
        <v>940</v>
      </c>
      <c r="H128" s="296">
        <v>1100</v>
      </c>
      <c r="I128" s="296">
        <v>1240</v>
      </c>
      <c r="J128" s="296">
        <v>1650</v>
      </c>
      <c r="K128" s="296">
        <v>927</v>
      </c>
      <c r="L128" s="296">
        <v>1809</v>
      </c>
      <c r="M128" s="296">
        <v>1185</v>
      </c>
      <c r="N128" s="296">
        <v>625</v>
      </c>
      <c r="O128" s="294">
        <f>SUM(C128:N128)</f>
        <v>11396</v>
      </c>
      <c r="P128" s="295">
        <f>O128/12</f>
        <v>949.66666666666663</v>
      </c>
      <c r="Q128" s="222"/>
      <c r="R128" s="222"/>
      <c r="S128" s="222"/>
      <c r="T128" s="222"/>
    </row>
    <row r="129" spans="1:20" ht="10.15" customHeight="1">
      <c r="A129" s="319"/>
      <c r="B129" s="245" t="s">
        <v>39</v>
      </c>
      <c r="C129" s="296">
        <v>0</v>
      </c>
      <c r="D129" s="296">
        <v>0</v>
      </c>
      <c r="E129" s="296">
        <v>0</v>
      </c>
      <c r="F129" s="296">
        <v>0</v>
      </c>
      <c r="G129" s="296">
        <v>500</v>
      </c>
      <c r="H129" s="296">
        <v>0</v>
      </c>
      <c r="I129" s="296">
        <v>0</v>
      </c>
      <c r="J129" s="296">
        <v>0</v>
      </c>
      <c r="K129" s="296">
        <v>0</v>
      </c>
      <c r="L129" s="296">
        <v>360</v>
      </c>
      <c r="M129" s="296">
        <v>0</v>
      </c>
      <c r="N129" s="296">
        <v>0</v>
      </c>
      <c r="O129" s="294">
        <f>SUM(C129:N129)</f>
        <v>860</v>
      </c>
      <c r="P129" s="295">
        <f>O129/12</f>
        <v>71.666666666666671</v>
      </c>
      <c r="Q129" s="222"/>
      <c r="R129" s="222"/>
      <c r="S129" s="222"/>
      <c r="T129" s="222"/>
    </row>
    <row r="130" spans="1:20" ht="10.15" customHeight="1">
      <c r="A130" s="319" t="s">
        <v>27</v>
      </c>
      <c r="B130" s="320"/>
      <c r="C130" s="285">
        <f t="shared" ref="C130:N130" si="28">SUM(C127:C129)</f>
        <v>540</v>
      </c>
      <c r="D130" s="285">
        <f t="shared" si="28"/>
        <v>520</v>
      </c>
      <c r="E130" s="285">
        <f t="shared" si="28"/>
        <v>460</v>
      </c>
      <c r="F130" s="285">
        <f t="shared" si="28"/>
        <v>400</v>
      </c>
      <c r="G130" s="285">
        <f t="shared" si="28"/>
        <v>5160</v>
      </c>
      <c r="H130" s="285">
        <f t="shared" si="28"/>
        <v>1100</v>
      </c>
      <c r="I130" s="285">
        <f t="shared" si="28"/>
        <v>1240</v>
      </c>
      <c r="J130" s="285">
        <f t="shared" si="28"/>
        <v>1650</v>
      </c>
      <c r="K130" s="285">
        <f t="shared" si="28"/>
        <v>927</v>
      </c>
      <c r="L130" s="285">
        <f t="shared" si="28"/>
        <v>2169</v>
      </c>
      <c r="M130" s="285">
        <f t="shared" si="28"/>
        <v>1185</v>
      </c>
      <c r="N130" s="285">
        <f t="shared" si="28"/>
        <v>625</v>
      </c>
      <c r="O130" s="294">
        <f>SUM(C130:N130)</f>
        <v>15976</v>
      </c>
      <c r="P130" s="295">
        <f>O130/12</f>
        <v>1331.3333333333333</v>
      </c>
      <c r="Q130" s="222"/>
      <c r="R130" s="222"/>
      <c r="S130" s="222"/>
      <c r="T130" s="222"/>
    </row>
    <row r="131" spans="1:20" ht="10.15" customHeight="1">
      <c r="A131" s="308"/>
      <c r="B131" s="246"/>
      <c r="C131" s="297"/>
      <c r="D131" s="297"/>
      <c r="E131" s="297"/>
      <c r="F131" s="297"/>
      <c r="G131" s="297"/>
      <c r="H131" s="297"/>
      <c r="I131" s="297"/>
      <c r="J131" s="297"/>
      <c r="K131" s="297"/>
      <c r="L131" s="297"/>
      <c r="M131" s="297"/>
      <c r="N131" s="297"/>
      <c r="O131" s="294"/>
      <c r="P131" s="295"/>
      <c r="Q131" s="222"/>
      <c r="R131" s="222"/>
      <c r="S131" s="222"/>
      <c r="T131" s="222"/>
    </row>
    <row r="132" spans="1:20" ht="10.15" customHeight="1">
      <c r="A132" s="319" t="s">
        <v>13</v>
      </c>
      <c r="B132" s="245" t="s">
        <v>40</v>
      </c>
      <c r="C132" s="296">
        <v>0</v>
      </c>
      <c r="D132" s="296">
        <v>211</v>
      </c>
      <c r="E132" s="296">
        <v>187</v>
      </c>
      <c r="F132" s="296">
        <v>0</v>
      </c>
      <c r="G132" s="296">
        <v>0</v>
      </c>
      <c r="H132" s="296">
        <v>800</v>
      </c>
      <c r="I132" s="296">
        <v>0</v>
      </c>
      <c r="J132" s="296">
        <v>0</v>
      </c>
      <c r="K132" s="296">
        <v>172</v>
      </c>
      <c r="L132" s="296">
        <v>0</v>
      </c>
      <c r="M132" s="296">
        <v>0</v>
      </c>
      <c r="N132" s="296">
        <v>160</v>
      </c>
      <c r="O132" s="297">
        <f t="shared" ref="O132:O139" si="29">SUM(C132:N132)</f>
        <v>1530</v>
      </c>
      <c r="P132" s="298">
        <f>O132/12</f>
        <v>127.5</v>
      </c>
      <c r="Q132" s="222"/>
      <c r="R132" s="222"/>
      <c r="S132" s="222"/>
      <c r="T132" s="222"/>
    </row>
    <row r="133" spans="1:20" ht="10.15" customHeight="1">
      <c r="A133" s="319"/>
      <c r="B133" s="245" t="s">
        <v>41</v>
      </c>
      <c r="C133" s="296"/>
      <c r="D133" s="296"/>
      <c r="E133" s="296"/>
      <c r="F133" s="296"/>
      <c r="G133" s="296"/>
      <c r="H133" s="296"/>
      <c r="I133" s="296">
        <v>3380</v>
      </c>
      <c r="J133" s="296">
        <v>191</v>
      </c>
      <c r="K133" s="296">
        <v>0</v>
      </c>
      <c r="L133" s="296">
        <v>0</v>
      </c>
      <c r="M133" s="296">
        <v>0</v>
      </c>
      <c r="N133" s="296">
        <v>0</v>
      </c>
      <c r="O133" s="297">
        <f t="shared" si="29"/>
        <v>3571</v>
      </c>
      <c r="P133" s="298">
        <f>O133/12</f>
        <v>297.58333333333331</v>
      </c>
      <c r="Q133" s="222"/>
      <c r="R133" s="222"/>
      <c r="S133" s="222"/>
      <c r="T133" s="222"/>
    </row>
    <row r="134" spans="1:20" ht="10.15" customHeight="1">
      <c r="A134" s="319"/>
      <c r="B134" s="245" t="s">
        <v>42</v>
      </c>
      <c r="C134" s="296">
        <v>304</v>
      </c>
      <c r="D134" s="296">
        <v>408</v>
      </c>
      <c r="E134" s="296">
        <v>280</v>
      </c>
      <c r="F134" s="296">
        <v>420</v>
      </c>
      <c r="G134" s="296">
        <v>478</v>
      </c>
      <c r="H134" s="296">
        <v>338</v>
      </c>
      <c r="I134" s="296">
        <v>520</v>
      </c>
      <c r="J134" s="296">
        <v>480</v>
      </c>
      <c r="K134" s="296">
        <v>420</v>
      </c>
      <c r="L134" s="296">
        <v>720</v>
      </c>
      <c r="M134" s="296">
        <v>380</v>
      </c>
      <c r="N134" s="296">
        <v>340</v>
      </c>
      <c r="O134" s="297">
        <f t="shared" si="29"/>
        <v>5088</v>
      </c>
      <c r="P134" s="298">
        <f>O134/12</f>
        <v>424</v>
      </c>
      <c r="Q134" s="222"/>
      <c r="R134" s="222"/>
      <c r="S134" s="222"/>
      <c r="T134" s="222"/>
    </row>
    <row r="135" spans="1:20" ht="10.15" customHeight="1">
      <c r="A135" s="319"/>
      <c r="B135" s="245" t="s">
        <v>43</v>
      </c>
      <c r="C135" s="296">
        <v>2866</v>
      </c>
      <c r="D135" s="296">
        <v>4521</v>
      </c>
      <c r="E135" s="296">
        <v>3980</v>
      </c>
      <c r="F135" s="296">
        <v>2656</v>
      </c>
      <c r="G135" s="296">
        <v>5603</v>
      </c>
      <c r="H135" s="296">
        <v>4140</v>
      </c>
      <c r="I135" s="296">
        <v>6168</v>
      </c>
      <c r="J135" s="296">
        <v>5976</v>
      </c>
      <c r="K135" s="296">
        <v>1160</v>
      </c>
      <c r="L135" s="296">
        <v>8640</v>
      </c>
      <c r="M135" s="296">
        <v>4188</v>
      </c>
      <c r="N135" s="296">
        <v>5232</v>
      </c>
      <c r="O135" s="297">
        <f t="shared" si="29"/>
        <v>55130</v>
      </c>
      <c r="P135" s="298">
        <f>O135/12</f>
        <v>4594.166666666667</v>
      </c>
      <c r="Q135" s="222"/>
      <c r="R135" s="222"/>
      <c r="S135" s="222"/>
      <c r="T135" s="222"/>
    </row>
    <row r="136" spans="1:20" ht="10.15" customHeight="1">
      <c r="A136" s="319"/>
      <c r="B136" s="245" t="s">
        <v>44</v>
      </c>
      <c r="C136" s="296">
        <v>0</v>
      </c>
      <c r="D136" s="296">
        <v>0</v>
      </c>
      <c r="E136" s="296">
        <v>0</v>
      </c>
      <c r="F136" s="296">
        <v>0</v>
      </c>
      <c r="G136" s="296">
        <v>0</v>
      </c>
      <c r="H136" s="296">
        <v>0</v>
      </c>
      <c r="I136" s="296">
        <v>0</v>
      </c>
      <c r="J136" s="296">
        <v>0</v>
      </c>
      <c r="K136" s="296">
        <v>0</v>
      </c>
      <c r="L136" s="296">
        <v>0</v>
      </c>
      <c r="M136" s="296">
        <v>0</v>
      </c>
      <c r="N136" s="296">
        <v>0</v>
      </c>
      <c r="O136" s="297">
        <f t="shared" si="29"/>
        <v>0</v>
      </c>
      <c r="P136" s="298">
        <f t="shared" ref="P136" si="30">O136/12</f>
        <v>0</v>
      </c>
      <c r="Q136" s="222"/>
      <c r="R136" s="222"/>
      <c r="S136" s="222"/>
      <c r="T136" s="222"/>
    </row>
    <row r="137" spans="1:20" ht="10.15" customHeight="1">
      <c r="A137" s="319"/>
      <c r="B137" s="245" t="s">
        <v>45</v>
      </c>
      <c r="C137" s="296">
        <v>0</v>
      </c>
      <c r="D137" s="296">
        <v>0</v>
      </c>
      <c r="E137" s="296">
        <v>74</v>
      </c>
      <c r="F137" s="296">
        <v>0</v>
      </c>
      <c r="G137" s="296">
        <v>0</v>
      </c>
      <c r="H137" s="296">
        <v>0</v>
      </c>
      <c r="I137" s="296">
        <v>0</v>
      </c>
      <c r="J137" s="296">
        <v>0</v>
      </c>
      <c r="K137" s="296">
        <v>0</v>
      </c>
      <c r="L137" s="296">
        <v>0</v>
      </c>
      <c r="M137" s="296">
        <v>0</v>
      </c>
      <c r="N137" s="296">
        <v>0</v>
      </c>
      <c r="O137" s="297">
        <f t="shared" si="29"/>
        <v>74</v>
      </c>
      <c r="P137" s="298">
        <f>O137/12</f>
        <v>6.166666666666667</v>
      </c>
      <c r="Q137" s="222"/>
      <c r="R137" s="222"/>
      <c r="S137" s="222"/>
      <c r="T137" s="222"/>
    </row>
    <row r="138" spans="1:20" ht="10.15" customHeight="1">
      <c r="A138" s="319"/>
      <c r="B138" s="245" t="s">
        <v>46</v>
      </c>
      <c r="C138" s="296">
        <v>440</v>
      </c>
      <c r="D138" s="296">
        <v>1577</v>
      </c>
      <c r="E138" s="296">
        <v>2637</v>
      </c>
      <c r="F138" s="296">
        <v>3052</v>
      </c>
      <c r="G138" s="296">
        <v>5756</v>
      </c>
      <c r="H138" s="296">
        <v>7142</v>
      </c>
      <c r="I138" s="296">
        <v>6411</v>
      </c>
      <c r="J138" s="296">
        <v>5921</v>
      </c>
      <c r="K138" s="296">
        <v>4245</v>
      </c>
      <c r="L138" s="296">
        <v>7534</v>
      </c>
      <c r="M138" s="296">
        <v>6555</v>
      </c>
      <c r="N138" s="296">
        <v>6454</v>
      </c>
      <c r="O138" s="297">
        <f t="shared" si="29"/>
        <v>57724</v>
      </c>
      <c r="P138" s="298">
        <f>O138/12</f>
        <v>4810.333333333333</v>
      </c>
      <c r="Q138" s="222"/>
      <c r="R138" s="222"/>
      <c r="S138" s="222"/>
      <c r="T138" s="222"/>
    </row>
    <row r="139" spans="1:20" ht="10.15" customHeight="1">
      <c r="A139" s="319" t="s">
        <v>27</v>
      </c>
      <c r="B139" s="320"/>
      <c r="C139" s="285">
        <f t="shared" ref="C139:N139" si="31">SUM(C132:C138)</f>
        <v>3610</v>
      </c>
      <c r="D139" s="285">
        <f t="shared" si="31"/>
        <v>6717</v>
      </c>
      <c r="E139" s="285">
        <f t="shared" si="31"/>
        <v>7158</v>
      </c>
      <c r="F139" s="285">
        <f t="shared" si="31"/>
        <v>6128</v>
      </c>
      <c r="G139" s="285">
        <f t="shared" si="31"/>
        <v>11837</v>
      </c>
      <c r="H139" s="285">
        <f t="shared" si="31"/>
        <v>12420</v>
      </c>
      <c r="I139" s="285">
        <f t="shared" si="31"/>
        <v>16479</v>
      </c>
      <c r="J139" s="285">
        <f t="shared" si="31"/>
        <v>12568</v>
      </c>
      <c r="K139" s="285">
        <f t="shared" si="31"/>
        <v>5997</v>
      </c>
      <c r="L139" s="285">
        <f t="shared" si="31"/>
        <v>16894</v>
      </c>
      <c r="M139" s="285">
        <f t="shared" si="31"/>
        <v>11123</v>
      </c>
      <c r="N139" s="285">
        <f t="shared" si="31"/>
        <v>12186</v>
      </c>
      <c r="O139" s="294">
        <f t="shared" si="29"/>
        <v>123117</v>
      </c>
      <c r="P139" s="295">
        <f>O139/12</f>
        <v>10259.75</v>
      </c>
      <c r="Q139" s="222"/>
      <c r="R139" s="222"/>
      <c r="S139" s="222"/>
      <c r="T139" s="222"/>
    </row>
    <row r="140" spans="1:20" ht="10.15" customHeight="1">
      <c r="A140" s="306"/>
      <c r="B140" s="307"/>
      <c r="C140" s="285"/>
      <c r="D140" s="299"/>
      <c r="E140" s="285"/>
      <c r="F140" s="285"/>
      <c r="G140" s="285"/>
      <c r="H140" s="285"/>
      <c r="I140" s="285"/>
      <c r="J140" s="285"/>
      <c r="K140" s="285"/>
      <c r="L140" s="285"/>
      <c r="M140" s="285"/>
      <c r="N140" s="285"/>
      <c r="O140" s="300"/>
      <c r="P140" s="301"/>
      <c r="Q140" s="222"/>
      <c r="R140" s="222"/>
      <c r="S140" s="222"/>
      <c r="T140" s="222"/>
    </row>
    <row r="141" spans="1:20" s="312" customFormat="1" ht="10.15" customHeight="1">
      <c r="A141" s="321" t="s">
        <v>47</v>
      </c>
      <c r="B141" s="322"/>
      <c r="C141" s="302">
        <f t="shared" ref="C141:N141" si="32">C139+C130+C125+C121+C115</f>
        <v>18426</v>
      </c>
      <c r="D141" s="302">
        <f t="shared" si="32"/>
        <v>32385</v>
      </c>
      <c r="E141" s="302">
        <f t="shared" si="32"/>
        <v>21895</v>
      </c>
      <c r="F141" s="302">
        <f t="shared" si="32"/>
        <v>21282</v>
      </c>
      <c r="G141" s="302">
        <f t="shared" si="32"/>
        <v>39282</v>
      </c>
      <c r="H141" s="302">
        <f t="shared" si="32"/>
        <v>40541</v>
      </c>
      <c r="I141" s="302">
        <f t="shared" si="32"/>
        <v>52352</v>
      </c>
      <c r="J141" s="302">
        <f t="shared" si="32"/>
        <v>47703</v>
      </c>
      <c r="K141" s="302">
        <f t="shared" si="32"/>
        <v>35586</v>
      </c>
      <c r="L141" s="302">
        <f t="shared" si="32"/>
        <v>53796</v>
      </c>
      <c r="M141" s="302">
        <f t="shared" si="32"/>
        <v>37116</v>
      </c>
      <c r="N141" s="302">
        <f t="shared" si="32"/>
        <v>27052</v>
      </c>
      <c r="O141" s="302">
        <f>SUM(C141:N141)</f>
        <v>427416</v>
      </c>
      <c r="P141" s="303">
        <f>O141/12</f>
        <v>35618</v>
      </c>
      <c r="Q141" s="222"/>
      <c r="R141" s="222"/>
      <c r="S141" s="222"/>
      <c r="T141" s="222"/>
    </row>
    <row r="142" spans="1:20" ht="10.15" customHeight="1">
      <c r="A142" s="317"/>
      <c r="B142" s="318"/>
      <c r="C142" s="285"/>
      <c r="D142" s="285"/>
      <c r="E142" s="285"/>
      <c r="F142" s="285"/>
      <c r="G142" s="285"/>
      <c r="H142" s="285"/>
      <c r="I142" s="285"/>
      <c r="J142" s="285"/>
      <c r="K142" s="285"/>
      <c r="L142" s="285"/>
      <c r="M142" s="285"/>
      <c r="N142" s="285"/>
      <c r="O142" s="285"/>
      <c r="P142" s="286"/>
      <c r="Q142" s="222"/>
      <c r="R142" s="222"/>
      <c r="S142" s="222"/>
      <c r="T142" s="222"/>
    </row>
    <row r="143" spans="1:20" ht="10.15" customHeight="1">
      <c r="A143" s="315" t="s">
        <v>48</v>
      </c>
      <c r="B143" s="316"/>
      <c r="C143" s="285"/>
      <c r="D143" s="285"/>
      <c r="E143" s="285"/>
      <c r="F143" s="285"/>
      <c r="G143" s="285"/>
      <c r="H143" s="285"/>
      <c r="I143" s="285"/>
      <c r="J143" s="285"/>
      <c r="K143" s="285"/>
      <c r="L143" s="285"/>
      <c r="M143" s="285"/>
      <c r="N143" s="285"/>
      <c r="O143" s="285"/>
      <c r="P143" s="286"/>
      <c r="Q143" s="222"/>
      <c r="R143" s="222"/>
      <c r="S143" s="222"/>
      <c r="T143" s="222"/>
    </row>
    <row r="144" spans="1:20" ht="10.15" customHeight="1">
      <c r="A144" s="317"/>
      <c r="B144" s="318"/>
      <c r="C144" s="285"/>
      <c r="D144" s="285"/>
      <c r="E144" s="285"/>
      <c r="F144" s="285"/>
      <c r="G144" s="285"/>
      <c r="H144" s="285"/>
      <c r="I144" s="285"/>
      <c r="J144" s="285"/>
      <c r="K144" s="285"/>
      <c r="L144" s="285"/>
      <c r="M144" s="285"/>
      <c r="N144" s="285"/>
      <c r="O144" s="285"/>
      <c r="P144" s="286"/>
      <c r="Q144" s="222"/>
      <c r="R144" s="222"/>
      <c r="S144" s="222"/>
      <c r="T144" s="222"/>
    </row>
    <row r="145" spans="1:20" ht="10.15" customHeight="1" thickBot="1">
      <c r="A145" s="315" t="s">
        <v>6</v>
      </c>
      <c r="B145" s="316"/>
      <c r="C145" s="285">
        <f t="shared" ref="C145:N145" si="33">C103+C141</f>
        <v>72776</v>
      </c>
      <c r="D145" s="285">
        <f t="shared" si="33"/>
        <v>88365</v>
      </c>
      <c r="E145" s="285">
        <f t="shared" si="33"/>
        <v>68995</v>
      </c>
      <c r="F145" s="285">
        <f t="shared" si="33"/>
        <v>80972</v>
      </c>
      <c r="G145" s="285">
        <f t="shared" si="33"/>
        <v>93142</v>
      </c>
      <c r="H145" s="285">
        <f t="shared" si="33"/>
        <v>83971</v>
      </c>
      <c r="I145" s="285">
        <f t="shared" si="33"/>
        <v>97382</v>
      </c>
      <c r="J145" s="285">
        <f t="shared" si="33"/>
        <v>80603</v>
      </c>
      <c r="K145" s="285">
        <f t="shared" si="33"/>
        <v>94076</v>
      </c>
      <c r="L145" s="285">
        <f t="shared" si="33"/>
        <v>106556</v>
      </c>
      <c r="M145" s="285">
        <f t="shared" si="33"/>
        <v>70916</v>
      </c>
      <c r="N145" s="285">
        <f t="shared" si="33"/>
        <v>80717</v>
      </c>
      <c r="O145" s="285">
        <f>SUM(C145:N145)</f>
        <v>1018471</v>
      </c>
      <c r="P145" s="286">
        <f>O145/12</f>
        <v>84872.583333333328</v>
      </c>
      <c r="Q145" s="222"/>
      <c r="R145" s="222"/>
      <c r="S145" s="222"/>
      <c r="T145" s="222"/>
    </row>
    <row r="146" spans="1:20" ht="7.9" customHeight="1">
      <c r="A146" s="239"/>
      <c r="B146" s="240"/>
      <c r="C146" s="240"/>
      <c r="D146" s="240"/>
      <c r="E146" s="240"/>
      <c r="F146" s="240"/>
      <c r="G146" s="240"/>
      <c r="H146" s="240"/>
      <c r="I146" s="240"/>
      <c r="J146" s="240"/>
      <c r="K146" s="240"/>
      <c r="L146" s="240"/>
      <c r="M146" s="240"/>
      <c r="N146" s="240"/>
      <c r="O146" s="247"/>
      <c r="P146" s="248"/>
    </row>
    <row r="147" spans="1:20" ht="7.9" customHeight="1">
      <c r="A147" s="241"/>
      <c r="P147" s="250"/>
    </row>
    <row r="148" spans="1:20" ht="7.9" customHeight="1">
      <c r="A148" s="241"/>
      <c r="P148" s="250"/>
    </row>
    <row r="149" spans="1:20" ht="7.9" customHeight="1">
      <c r="A149" s="329" t="s">
        <v>0</v>
      </c>
      <c r="B149" s="330"/>
      <c r="C149" s="330"/>
      <c r="D149" s="330"/>
      <c r="E149" s="330"/>
      <c r="F149" s="330"/>
      <c r="G149" s="330"/>
      <c r="H149" s="330"/>
      <c r="I149" s="330"/>
      <c r="J149" s="330"/>
      <c r="K149" s="330"/>
      <c r="L149" s="330"/>
      <c r="M149" s="330"/>
      <c r="N149" s="330"/>
      <c r="O149" s="330"/>
      <c r="P149" s="331"/>
    </row>
    <row r="150" spans="1:20" ht="7.9" customHeight="1">
      <c r="A150" s="242"/>
      <c r="B150" s="222"/>
      <c r="C150" s="222"/>
      <c r="D150" s="222"/>
      <c r="E150" s="222"/>
      <c r="F150" s="222"/>
      <c r="G150" s="222"/>
      <c r="H150" s="222"/>
      <c r="I150" s="222"/>
      <c r="J150" s="222"/>
      <c r="K150" s="222"/>
      <c r="L150" s="222"/>
      <c r="M150" s="222"/>
      <c r="N150" s="222"/>
      <c r="O150" s="244"/>
      <c r="P150" s="251"/>
    </row>
    <row r="151" spans="1:20" ht="7.9" customHeight="1">
      <c r="A151" s="329" t="s">
        <v>50</v>
      </c>
      <c r="B151" s="330"/>
      <c r="C151" s="330"/>
      <c r="D151" s="330"/>
      <c r="E151" s="330"/>
      <c r="F151" s="330"/>
      <c r="G151" s="330"/>
      <c r="H151" s="330"/>
      <c r="I151" s="330"/>
      <c r="J151" s="330"/>
      <c r="K151" s="330"/>
      <c r="L151" s="330"/>
      <c r="M151" s="330"/>
      <c r="N151" s="330"/>
      <c r="O151" s="330"/>
      <c r="P151" s="331"/>
    </row>
    <row r="152" spans="1:20" ht="7.9" customHeight="1">
      <c r="A152" s="241"/>
      <c r="P152" s="250"/>
    </row>
    <row r="153" spans="1:20" ht="7.9" customHeight="1">
      <c r="A153" s="241"/>
      <c r="P153" s="250"/>
    </row>
    <row r="154" spans="1:20" ht="7.9" customHeight="1">
      <c r="A154" s="241"/>
      <c r="P154" s="250"/>
    </row>
    <row r="155" spans="1:20" ht="10.15" customHeight="1">
      <c r="A155" s="315"/>
      <c r="B155" s="316"/>
      <c r="C155" s="252">
        <v>43205</v>
      </c>
      <c r="D155" s="252">
        <v>43235</v>
      </c>
      <c r="E155" s="252">
        <v>43266</v>
      </c>
      <c r="F155" s="252">
        <v>43296</v>
      </c>
      <c r="G155" s="252">
        <v>43327</v>
      </c>
      <c r="H155" s="252">
        <v>43358</v>
      </c>
      <c r="I155" s="252">
        <v>43388</v>
      </c>
      <c r="J155" s="252">
        <v>43419</v>
      </c>
      <c r="K155" s="252">
        <v>43449</v>
      </c>
      <c r="L155" s="252">
        <v>43480</v>
      </c>
      <c r="M155" s="252">
        <v>43511</v>
      </c>
      <c r="N155" s="252">
        <v>43539</v>
      </c>
      <c r="O155" s="307" t="s">
        <v>2</v>
      </c>
      <c r="P155" s="253" t="s">
        <v>3</v>
      </c>
    </row>
    <row r="156" spans="1:20" ht="10.15" customHeight="1">
      <c r="A156" s="332"/>
      <c r="B156" s="333"/>
      <c r="C156" s="254"/>
      <c r="D156" s="254"/>
      <c r="E156" s="254"/>
      <c r="F156" s="254"/>
      <c r="G156" s="254"/>
      <c r="H156" s="254"/>
      <c r="I156" s="254"/>
      <c r="J156" s="254"/>
      <c r="K156" s="254"/>
      <c r="L156" s="254"/>
      <c r="M156" s="254"/>
      <c r="N156" s="254"/>
      <c r="O156" s="255"/>
      <c r="P156" s="256"/>
    </row>
    <row r="157" spans="1:20" s="310" customFormat="1" ht="10.15" customHeight="1">
      <c r="A157" s="317" t="s">
        <v>4</v>
      </c>
      <c r="B157" s="318"/>
      <c r="C157" s="282">
        <f t="shared" ref="C157:J157" si="34">C212/C216</f>
        <v>0.50468566966028894</v>
      </c>
      <c r="D157" s="282">
        <f t="shared" si="34"/>
        <v>0.52370083847872573</v>
      </c>
      <c r="E157" s="282">
        <f t="shared" si="34"/>
        <v>0.56605986436183775</v>
      </c>
      <c r="F157" s="282">
        <f t="shared" si="34"/>
        <v>0.50439080264720859</v>
      </c>
      <c r="G157" s="282">
        <f t="shared" si="34"/>
        <v>0.56201397306168033</v>
      </c>
      <c r="H157" s="282">
        <f t="shared" si="34"/>
        <v>0.54614434898914554</v>
      </c>
      <c r="I157" s="282">
        <f t="shared" si="34"/>
        <v>0.53036428103615707</v>
      </c>
      <c r="J157" s="282">
        <f t="shared" si="34"/>
        <v>0.58228681508937064</v>
      </c>
      <c r="K157" s="282">
        <f>K212/K216</f>
        <v>0.44233369073702855</v>
      </c>
      <c r="L157" s="282">
        <f>L212/L216</f>
        <v>0.52461443059750756</v>
      </c>
      <c r="M157" s="282">
        <f>M212/M216</f>
        <v>0.56008662909457829</v>
      </c>
      <c r="N157" s="282">
        <f>N212/N216</f>
        <v>0.51424492832297886</v>
      </c>
      <c r="O157" s="283">
        <f>AVERAGE(C157:N157)</f>
        <v>0.53007718933970904</v>
      </c>
      <c r="P157" s="284">
        <f>AVERAGE(C157:N157)</f>
        <v>0.53007718933970904</v>
      </c>
      <c r="Q157" s="313"/>
    </row>
    <row r="158" spans="1:20" s="310" customFormat="1" ht="10.15" customHeight="1">
      <c r="A158" s="317" t="s">
        <v>5</v>
      </c>
      <c r="B158" s="318"/>
      <c r="C158" s="282">
        <f t="shared" ref="C158:J158" si="35">C174/C160</f>
        <v>0.49531433033971106</v>
      </c>
      <c r="D158" s="282">
        <f t="shared" si="35"/>
        <v>0.47629916152127427</v>
      </c>
      <c r="E158" s="282">
        <f t="shared" si="35"/>
        <v>0.43394013563816225</v>
      </c>
      <c r="F158" s="282">
        <f t="shared" si="35"/>
        <v>0.49560919735279146</v>
      </c>
      <c r="G158" s="282">
        <f t="shared" si="35"/>
        <v>0.43798602693831967</v>
      </c>
      <c r="H158" s="282">
        <f t="shared" si="35"/>
        <v>0.45385565101085446</v>
      </c>
      <c r="I158" s="282">
        <f t="shared" si="35"/>
        <v>0.46963571896384293</v>
      </c>
      <c r="J158" s="282">
        <f t="shared" si="35"/>
        <v>0.41771318491062936</v>
      </c>
      <c r="K158" s="282">
        <f>K174/K160</f>
        <v>0.55766630926297145</v>
      </c>
      <c r="L158" s="282">
        <f>L174/L160</f>
        <v>0.47538556940249244</v>
      </c>
      <c r="M158" s="282">
        <f>M174/M160</f>
        <v>0.43991337090542171</v>
      </c>
      <c r="N158" s="282">
        <f>N174/N160</f>
        <v>0.48575507167702114</v>
      </c>
      <c r="O158" s="283">
        <f>AVERAGE(C158:N158)</f>
        <v>0.46992281066029101</v>
      </c>
      <c r="P158" s="284">
        <f>AVERAGE(C158:N158)</f>
        <v>0.46992281066029101</v>
      </c>
    </row>
    <row r="159" spans="1:20" ht="10.15" customHeight="1">
      <c r="A159" s="306"/>
      <c r="B159" s="307"/>
      <c r="C159" s="255"/>
      <c r="D159" s="255"/>
      <c r="E159" s="255"/>
      <c r="F159" s="255"/>
      <c r="G159" s="255"/>
      <c r="H159" s="255"/>
      <c r="I159" s="255"/>
      <c r="J159" s="255"/>
      <c r="K159" s="255"/>
      <c r="L159" s="255"/>
      <c r="M159" s="255"/>
      <c r="N159" s="255"/>
      <c r="O159" s="255"/>
      <c r="P159" s="256"/>
    </row>
    <row r="160" spans="1:20" s="314" customFormat="1" ht="10.15" customHeight="1">
      <c r="A160" s="317" t="s">
        <v>6</v>
      </c>
      <c r="B160" s="318"/>
      <c r="C160" s="285">
        <f t="shared" ref="C160:N160" si="36">C216</f>
        <v>102440</v>
      </c>
      <c r="D160" s="285">
        <f t="shared" si="36"/>
        <v>83246</v>
      </c>
      <c r="E160" s="285">
        <f t="shared" si="36"/>
        <v>78444</v>
      </c>
      <c r="F160" s="285">
        <f t="shared" si="36"/>
        <v>94288</v>
      </c>
      <c r="G160" s="285">
        <f t="shared" si="36"/>
        <v>73427</v>
      </c>
      <c r="H160" s="285">
        <f t="shared" si="36"/>
        <v>77756</v>
      </c>
      <c r="I160" s="285">
        <f t="shared" si="36"/>
        <v>88558</v>
      </c>
      <c r="J160" s="285">
        <f t="shared" si="36"/>
        <v>82018</v>
      </c>
      <c r="K160" s="285">
        <f t="shared" si="36"/>
        <v>85804</v>
      </c>
      <c r="L160" s="285">
        <f t="shared" si="36"/>
        <v>99982</v>
      </c>
      <c r="M160" s="285">
        <f t="shared" si="36"/>
        <v>81266</v>
      </c>
      <c r="N160" s="285">
        <f t="shared" si="36"/>
        <v>99474</v>
      </c>
      <c r="O160" s="285">
        <f>SUM(C160:N160)</f>
        <v>1046703</v>
      </c>
      <c r="P160" s="286">
        <f>O160/12</f>
        <v>87225.25</v>
      </c>
    </row>
    <row r="161" spans="1:16" ht="10.15" customHeight="1">
      <c r="A161" s="317"/>
      <c r="B161" s="318"/>
      <c r="C161" s="255"/>
      <c r="D161" s="255"/>
      <c r="E161" s="255"/>
      <c r="F161" s="255"/>
      <c r="G161" s="255"/>
      <c r="H161" s="255"/>
      <c r="I161" s="255"/>
      <c r="J161" s="255"/>
      <c r="K161" s="255"/>
      <c r="L161" s="255"/>
      <c r="M161" s="255"/>
      <c r="N161" s="255"/>
      <c r="O161" s="255"/>
      <c r="P161" s="256"/>
    </row>
    <row r="162" spans="1:16" ht="10.15" customHeight="1">
      <c r="A162" s="327" t="s">
        <v>7</v>
      </c>
      <c r="B162" s="328"/>
      <c r="C162" s="252"/>
      <c r="D162" s="252"/>
      <c r="E162" s="252"/>
      <c r="F162" s="252"/>
      <c r="G162" s="252"/>
      <c r="H162" s="252"/>
      <c r="I162" s="252"/>
      <c r="J162" s="252"/>
      <c r="K162" s="252"/>
      <c r="L162" s="252"/>
      <c r="M162" s="252"/>
      <c r="N162" s="252"/>
      <c r="O162" s="285"/>
      <c r="P162" s="286"/>
    </row>
    <row r="163" spans="1:16" ht="10.15" customHeight="1">
      <c r="A163" s="315"/>
      <c r="B163" s="316"/>
      <c r="C163" s="255"/>
      <c r="D163" s="255"/>
      <c r="E163" s="255"/>
      <c r="F163" s="255"/>
      <c r="G163" s="255"/>
      <c r="H163" s="255"/>
      <c r="I163" s="255"/>
      <c r="J163" s="255"/>
      <c r="K163" s="255"/>
      <c r="L163" s="255"/>
      <c r="M163" s="255"/>
      <c r="N163" s="255"/>
      <c r="O163" s="255"/>
      <c r="P163" s="256"/>
    </row>
    <row r="164" spans="1:16" s="310" customFormat="1" ht="10.15" customHeight="1">
      <c r="A164" s="323" t="s">
        <v>8</v>
      </c>
      <c r="B164" s="324"/>
      <c r="C164" s="255"/>
      <c r="D164" s="255"/>
      <c r="E164" s="255"/>
      <c r="F164" s="255"/>
      <c r="G164" s="255"/>
      <c r="H164" s="255"/>
      <c r="I164" s="255"/>
      <c r="J164" s="255"/>
      <c r="K164" s="255"/>
      <c r="L164" s="255"/>
      <c r="M164" s="255"/>
      <c r="N164" s="255"/>
      <c r="O164" s="255"/>
      <c r="P164" s="256"/>
    </row>
    <row r="165" spans="1:16" s="310" customFormat="1" ht="10.15" customHeight="1">
      <c r="A165" s="323" t="s">
        <v>9</v>
      </c>
      <c r="B165" s="324"/>
      <c r="C165" s="287">
        <v>44860</v>
      </c>
      <c r="D165" s="287">
        <v>34250</v>
      </c>
      <c r="E165" s="287">
        <v>29000</v>
      </c>
      <c r="F165" s="287">
        <v>37000</v>
      </c>
      <c r="G165" s="287">
        <v>27000</v>
      </c>
      <c r="H165" s="287">
        <v>30000</v>
      </c>
      <c r="I165" s="287">
        <v>35990</v>
      </c>
      <c r="J165" s="287">
        <v>27750</v>
      </c>
      <c r="K165" s="287">
        <v>40500</v>
      </c>
      <c r="L165" s="287">
        <v>41000</v>
      </c>
      <c r="M165" s="287">
        <v>29750</v>
      </c>
      <c r="N165" s="287">
        <v>42560</v>
      </c>
      <c r="O165" s="287">
        <f>SUM(C165:N165)</f>
        <v>419660</v>
      </c>
      <c r="P165" s="288">
        <f>O165/12</f>
        <v>34971.666666666664</v>
      </c>
    </row>
    <row r="166" spans="1:16" ht="10.15" customHeight="1">
      <c r="A166" s="323"/>
      <c r="B166" s="324"/>
      <c r="C166" s="287"/>
      <c r="D166" s="287"/>
      <c r="E166" s="287"/>
      <c r="F166" s="287"/>
      <c r="G166" s="287"/>
      <c r="H166" s="287"/>
      <c r="I166" s="287"/>
      <c r="J166" s="287"/>
      <c r="K166" s="287"/>
      <c r="L166" s="287"/>
      <c r="M166" s="287"/>
      <c r="N166" s="287"/>
      <c r="O166" s="287"/>
      <c r="P166" s="288"/>
    </row>
    <row r="167" spans="1:16" s="310" customFormat="1" ht="10.15" customHeight="1">
      <c r="A167" s="323" t="s">
        <v>10</v>
      </c>
      <c r="B167" s="324"/>
      <c r="C167" s="287"/>
      <c r="D167" s="287"/>
      <c r="E167" s="287"/>
      <c r="F167" s="287"/>
      <c r="G167" s="287"/>
      <c r="H167" s="287"/>
      <c r="I167" s="287"/>
      <c r="J167" s="287"/>
      <c r="K167" s="287"/>
      <c r="L167" s="287"/>
      <c r="M167" s="287"/>
      <c r="N167" s="287"/>
      <c r="O167" s="287"/>
      <c r="P167" s="288"/>
    </row>
    <row r="168" spans="1:16" s="310" customFormat="1" ht="10.15" customHeight="1">
      <c r="A168" s="323" t="s">
        <v>11</v>
      </c>
      <c r="B168" s="324"/>
      <c r="C168" s="289">
        <v>5880</v>
      </c>
      <c r="D168" s="289">
        <v>5400</v>
      </c>
      <c r="E168" s="289">
        <v>5040</v>
      </c>
      <c r="F168" s="289">
        <v>6670</v>
      </c>
      <c r="G168" s="289">
        <v>5160</v>
      </c>
      <c r="H168" s="289">
        <v>5290</v>
      </c>
      <c r="I168" s="289">
        <v>5600</v>
      </c>
      <c r="J168" s="289">
        <v>6510</v>
      </c>
      <c r="K168" s="289">
        <v>7350</v>
      </c>
      <c r="L168" s="289">
        <v>6530</v>
      </c>
      <c r="M168" s="289">
        <v>5500</v>
      </c>
      <c r="N168" s="289">
        <v>5760</v>
      </c>
      <c r="O168" s="287">
        <f>SUM(C168:N168)</f>
        <v>70690</v>
      </c>
      <c r="P168" s="288">
        <f>O168/12</f>
        <v>5890.833333333333</v>
      </c>
    </row>
    <row r="169" spans="1:16" s="310" customFormat="1" ht="10.15" customHeight="1">
      <c r="A169" s="323" t="s">
        <v>12</v>
      </c>
      <c r="B169" s="324"/>
      <c r="C169" s="289">
        <v>0</v>
      </c>
      <c r="D169" s="289">
        <v>0</v>
      </c>
      <c r="E169" s="289">
        <v>0</v>
      </c>
      <c r="F169" s="289">
        <v>0</v>
      </c>
      <c r="G169" s="289">
        <v>0</v>
      </c>
      <c r="H169" s="289">
        <v>0</v>
      </c>
      <c r="I169" s="289">
        <v>0</v>
      </c>
      <c r="J169" s="289">
        <v>0</v>
      </c>
      <c r="K169" s="289">
        <v>0</v>
      </c>
      <c r="L169" s="289">
        <v>0</v>
      </c>
      <c r="M169" s="289">
        <v>500</v>
      </c>
      <c r="N169" s="289">
        <v>0</v>
      </c>
      <c r="O169" s="287">
        <f>SUM(C169:N169)</f>
        <v>500</v>
      </c>
      <c r="P169" s="288">
        <f>O169/12</f>
        <v>41.666666666666664</v>
      </c>
    </row>
    <row r="170" spans="1:16" s="310" customFormat="1" ht="10.15" customHeight="1">
      <c r="A170" s="323" t="s">
        <v>13</v>
      </c>
      <c r="B170" s="324"/>
      <c r="C170" s="289">
        <v>0</v>
      </c>
      <c r="D170" s="289">
        <v>0</v>
      </c>
      <c r="E170" s="289">
        <v>0</v>
      </c>
      <c r="F170" s="289">
        <v>0</v>
      </c>
      <c r="G170" s="289">
        <v>0</v>
      </c>
      <c r="H170" s="289">
        <v>0</v>
      </c>
      <c r="I170" s="289">
        <v>0</v>
      </c>
      <c r="J170" s="289">
        <v>0</v>
      </c>
      <c r="K170" s="289">
        <v>0</v>
      </c>
      <c r="L170" s="289">
        <v>0</v>
      </c>
      <c r="M170" s="289">
        <v>0</v>
      </c>
      <c r="N170" s="289">
        <v>0</v>
      </c>
      <c r="O170" s="287">
        <f>SUM(C170:N170)</f>
        <v>0</v>
      </c>
      <c r="P170" s="288">
        <f>O170/12</f>
        <v>0</v>
      </c>
    </row>
    <row r="171" spans="1:16" s="310" customFormat="1" ht="10.15" customHeight="1">
      <c r="A171" s="323" t="s">
        <v>14</v>
      </c>
      <c r="B171" s="324"/>
      <c r="C171" s="289">
        <v>0</v>
      </c>
      <c r="D171" s="289">
        <v>0</v>
      </c>
      <c r="E171" s="289">
        <v>0</v>
      </c>
      <c r="F171" s="289">
        <v>3060</v>
      </c>
      <c r="G171" s="289">
        <v>0</v>
      </c>
      <c r="H171" s="289">
        <v>0</v>
      </c>
      <c r="I171" s="289">
        <v>0</v>
      </c>
      <c r="J171" s="289">
        <v>0</v>
      </c>
      <c r="K171" s="289">
        <v>0</v>
      </c>
      <c r="L171" s="289">
        <v>0</v>
      </c>
      <c r="M171" s="289">
        <v>0</v>
      </c>
      <c r="N171" s="289">
        <v>0</v>
      </c>
      <c r="O171" s="287">
        <f>SUM(C171:N171)</f>
        <v>3060</v>
      </c>
      <c r="P171" s="288">
        <f>O171/12</f>
        <v>255</v>
      </c>
    </row>
    <row r="172" spans="1:16" s="310" customFormat="1" ht="10.15" customHeight="1">
      <c r="A172" s="323" t="s">
        <v>15</v>
      </c>
      <c r="B172" s="324"/>
      <c r="C172" s="290">
        <f t="shared" ref="C172:N172" si="37">SUM(C168:C171)</f>
        <v>5880</v>
      </c>
      <c r="D172" s="290">
        <f t="shared" si="37"/>
        <v>5400</v>
      </c>
      <c r="E172" s="290">
        <f t="shared" si="37"/>
        <v>5040</v>
      </c>
      <c r="F172" s="290">
        <f t="shared" si="37"/>
        <v>9730</v>
      </c>
      <c r="G172" s="290">
        <f t="shared" si="37"/>
        <v>5160</v>
      </c>
      <c r="H172" s="290">
        <f t="shared" si="37"/>
        <v>5290</v>
      </c>
      <c r="I172" s="290">
        <f t="shared" si="37"/>
        <v>5600</v>
      </c>
      <c r="J172" s="290">
        <f t="shared" si="37"/>
        <v>6510</v>
      </c>
      <c r="K172" s="290">
        <f t="shared" si="37"/>
        <v>7350</v>
      </c>
      <c r="L172" s="290">
        <f t="shared" si="37"/>
        <v>6530</v>
      </c>
      <c r="M172" s="290">
        <f t="shared" si="37"/>
        <v>6000</v>
      </c>
      <c r="N172" s="290">
        <f t="shared" si="37"/>
        <v>5760</v>
      </c>
      <c r="O172" s="290">
        <f>SUM(C172:N172)</f>
        <v>74250</v>
      </c>
      <c r="P172" s="291">
        <f>O172/12</f>
        <v>6187.5</v>
      </c>
    </row>
    <row r="173" spans="1:16" ht="10.15" customHeight="1">
      <c r="A173" s="317"/>
      <c r="B173" s="318"/>
      <c r="C173" s="255"/>
      <c r="D173" s="255"/>
      <c r="E173" s="255"/>
      <c r="F173" s="255"/>
      <c r="G173" s="255"/>
      <c r="H173" s="255"/>
      <c r="I173" s="255"/>
      <c r="J173" s="255"/>
      <c r="K173" s="255"/>
      <c r="L173" s="255"/>
      <c r="M173" s="255"/>
      <c r="N173" s="255"/>
      <c r="O173" s="255"/>
      <c r="P173" s="256"/>
    </row>
    <row r="174" spans="1:16" ht="10.15" customHeight="1">
      <c r="A174" s="325" t="s">
        <v>16</v>
      </c>
      <c r="B174" s="326"/>
      <c r="C174" s="290">
        <f t="shared" ref="C174:N174" si="38">C165+C172</f>
        <v>50740</v>
      </c>
      <c r="D174" s="290">
        <f t="shared" si="38"/>
        <v>39650</v>
      </c>
      <c r="E174" s="290">
        <f t="shared" si="38"/>
        <v>34040</v>
      </c>
      <c r="F174" s="290">
        <f t="shared" si="38"/>
        <v>46730</v>
      </c>
      <c r="G174" s="290">
        <f t="shared" si="38"/>
        <v>32160</v>
      </c>
      <c r="H174" s="290">
        <f t="shared" si="38"/>
        <v>35290</v>
      </c>
      <c r="I174" s="290">
        <f t="shared" si="38"/>
        <v>41590</v>
      </c>
      <c r="J174" s="290">
        <f t="shared" si="38"/>
        <v>34260</v>
      </c>
      <c r="K174" s="290">
        <f t="shared" si="38"/>
        <v>47850</v>
      </c>
      <c r="L174" s="290">
        <f t="shared" si="38"/>
        <v>47530</v>
      </c>
      <c r="M174" s="290">
        <f t="shared" si="38"/>
        <v>35750</v>
      </c>
      <c r="N174" s="290">
        <f t="shared" si="38"/>
        <v>48320</v>
      </c>
      <c r="O174" s="290">
        <f>SUM(C174:N174)</f>
        <v>493910</v>
      </c>
      <c r="P174" s="291">
        <f>O174/12</f>
        <v>41159.166666666664</v>
      </c>
    </row>
    <row r="175" spans="1:16" ht="10.15" customHeight="1">
      <c r="A175" s="317"/>
      <c r="B175" s="318"/>
      <c r="C175" s="255"/>
      <c r="D175" s="255"/>
      <c r="E175" s="255"/>
      <c r="F175" s="255"/>
      <c r="G175" s="255"/>
      <c r="H175" s="255"/>
      <c r="I175" s="255"/>
      <c r="J175" s="255"/>
      <c r="K175" s="255"/>
      <c r="L175" s="255"/>
      <c r="M175" s="255"/>
      <c r="N175" s="255"/>
      <c r="O175" s="255"/>
      <c r="P175" s="256"/>
    </row>
    <row r="176" spans="1:16" ht="10.15" customHeight="1">
      <c r="A176" s="321" t="s">
        <v>17</v>
      </c>
      <c r="B176" s="322"/>
      <c r="C176" s="252"/>
      <c r="D176" s="252"/>
      <c r="E176" s="252"/>
      <c r="F176" s="252"/>
      <c r="G176" s="252"/>
      <c r="H176" s="252"/>
      <c r="I176" s="252"/>
      <c r="J176" s="252"/>
      <c r="K176" s="252"/>
      <c r="L176" s="252"/>
      <c r="M176" s="252"/>
      <c r="N176" s="252"/>
      <c r="O176" s="252"/>
      <c r="P176" s="292"/>
    </row>
    <row r="177" spans="1:20" ht="10.15" customHeight="1">
      <c r="A177" s="315"/>
      <c r="B177" s="316"/>
      <c r="C177" s="255"/>
      <c r="D177" s="255"/>
      <c r="E177" s="255"/>
      <c r="F177" s="255"/>
      <c r="G177" s="255"/>
      <c r="H177" s="255"/>
      <c r="I177" s="255"/>
      <c r="J177" s="255"/>
      <c r="K177" s="255"/>
      <c r="L177" s="255"/>
      <c r="M177" s="255"/>
      <c r="N177" s="255"/>
      <c r="O177" s="255"/>
      <c r="P177" s="256"/>
    </row>
    <row r="178" spans="1:20" ht="10.15" customHeight="1">
      <c r="A178" s="319" t="s">
        <v>18</v>
      </c>
      <c r="B178" s="245" t="s">
        <v>19</v>
      </c>
      <c r="C178" s="293">
        <v>2323</v>
      </c>
      <c r="D178" s="293">
        <v>2738</v>
      </c>
      <c r="E178" s="293">
        <v>848</v>
      </c>
      <c r="F178" s="293">
        <v>1691</v>
      </c>
      <c r="G178" s="293">
        <v>2266</v>
      </c>
      <c r="H178" s="293">
        <v>936</v>
      </c>
      <c r="I178" s="293">
        <v>3255</v>
      </c>
      <c r="J178" s="293">
        <v>1283</v>
      </c>
      <c r="K178" s="293">
        <v>2584</v>
      </c>
      <c r="L178" s="293">
        <v>2228</v>
      </c>
      <c r="M178" s="293">
        <v>1926</v>
      </c>
      <c r="N178" s="293">
        <v>2145</v>
      </c>
      <c r="O178" s="294">
        <f t="shared" ref="O178:O186" si="39">SUM(C178:N178)</f>
        <v>24223</v>
      </c>
      <c r="P178" s="295">
        <f t="shared" ref="P178:P186" si="40">O178/12</f>
        <v>2018.5833333333333</v>
      </c>
      <c r="Q178" s="222"/>
      <c r="R178" s="222"/>
      <c r="S178" s="222"/>
      <c r="T178" s="222"/>
    </row>
    <row r="179" spans="1:20" ht="10.15" customHeight="1">
      <c r="A179" s="319"/>
      <c r="B179" s="245" t="s">
        <v>20</v>
      </c>
      <c r="C179" s="293">
        <v>0</v>
      </c>
      <c r="D179" s="293">
        <v>0</v>
      </c>
      <c r="E179" s="293">
        <v>0</v>
      </c>
      <c r="F179" s="293">
        <v>0</v>
      </c>
      <c r="G179" s="293">
        <v>0</v>
      </c>
      <c r="H179" s="293">
        <v>0</v>
      </c>
      <c r="I179" s="293">
        <v>0</v>
      </c>
      <c r="J179" s="293">
        <v>0</v>
      </c>
      <c r="K179" s="293">
        <v>0</v>
      </c>
      <c r="L179" s="293">
        <v>0</v>
      </c>
      <c r="M179" s="293">
        <v>0</v>
      </c>
      <c r="N179" s="293">
        <v>0</v>
      </c>
      <c r="O179" s="294">
        <f t="shared" si="39"/>
        <v>0</v>
      </c>
      <c r="P179" s="295">
        <f t="shared" si="40"/>
        <v>0</v>
      </c>
      <c r="Q179" s="222"/>
      <c r="R179" s="222"/>
      <c r="S179" s="222"/>
      <c r="T179" s="222"/>
    </row>
    <row r="180" spans="1:20" ht="10.15" customHeight="1">
      <c r="A180" s="319"/>
      <c r="B180" s="245" t="s">
        <v>21</v>
      </c>
      <c r="C180" s="296">
        <v>195</v>
      </c>
      <c r="D180" s="296">
        <v>340</v>
      </c>
      <c r="E180" s="296">
        <v>145</v>
      </c>
      <c r="F180" s="296">
        <v>277</v>
      </c>
      <c r="G180" s="296">
        <v>445</v>
      </c>
      <c r="H180" s="296">
        <v>377</v>
      </c>
      <c r="I180" s="296">
        <v>631</v>
      </c>
      <c r="J180" s="296">
        <v>231</v>
      </c>
      <c r="K180" s="296">
        <v>526</v>
      </c>
      <c r="L180" s="296">
        <v>743</v>
      </c>
      <c r="M180" s="296">
        <v>375</v>
      </c>
      <c r="N180" s="296">
        <v>281</v>
      </c>
      <c r="O180" s="297">
        <f t="shared" si="39"/>
        <v>4566</v>
      </c>
      <c r="P180" s="298">
        <f t="shared" si="40"/>
        <v>380.5</v>
      </c>
      <c r="Q180" s="222"/>
      <c r="R180" s="222"/>
      <c r="S180" s="222"/>
      <c r="T180" s="222"/>
    </row>
    <row r="181" spans="1:20" ht="10.15" customHeight="1">
      <c r="A181" s="319"/>
      <c r="B181" s="245" t="s">
        <v>22</v>
      </c>
      <c r="C181" s="296">
        <v>1580</v>
      </c>
      <c r="D181" s="296">
        <v>2742</v>
      </c>
      <c r="E181" s="296">
        <v>1970</v>
      </c>
      <c r="F181" s="296">
        <v>1620</v>
      </c>
      <c r="G181" s="296">
        <v>2640</v>
      </c>
      <c r="H181" s="296">
        <v>2341</v>
      </c>
      <c r="I181" s="296">
        <v>2209</v>
      </c>
      <c r="J181" s="296">
        <v>2550</v>
      </c>
      <c r="K181" s="296">
        <v>0</v>
      </c>
      <c r="L181" s="296">
        <v>0</v>
      </c>
      <c r="M181" s="296">
        <v>2350</v>
      </c>
      <c r="N181" s="296">
        <v>2100</v>
      </c>
      <c r="O181" s="297">
        <f t="shared" si="39"/>
        <v>22102</v>
      </c>
      <c r="P181" s="298">
        <f t="shared" si="40"/>
        <v>1841.8333333333333</v>
      </c>
      <c r="Q181" s="222"/>
      <c r="R181" s="222"/>
      <c r="S181" s="222"/>
      <c r="T181" s="222"/>
    </row>
    <row r="182" spans="1:20" ht="10.15" customHeight="1">
      <c r="A182" s="319"/>
      <c r="B182" s="245" t="s">
        <v>23</v>
      </c>
      <c r="C182" s="296">
        <v>1040</v>
      </c>
      <c r="D182" s="296">
        <v>538</v>
      </c>
      <c r="E182" s="296">
        <v>720</v>
      </c>
      <c r="F182" s="296">
        <v>1339</v>
      </c>
      <c r="G182" s="296">
        <v>449</v>
      </c>
      <c r="H182" s="296">
        <v>90</v>
      </c>
      <c r="I182" s="296">
        <v>694</v>
      </c>
      <c r="J182" s="296">
        <v>355</v>
      </c>
      <c r="K182" s="296">
        <v>782</v>
      </c>
      <c r="L182" s="296">
        <v>2734</v>
      </c>
      <c r="M182" s="296">
        <v>1605</v>
      </c>
      <c r="N182" s="296">
        <v>422</v>
      </c>
      <c r="O182" s="297">
        <f t="shared" si="39"/>
        <v>10768</v>
      </c>
      <c r="P182" s="298">
        <f t="shared" si="40"/>
        <v>897.33333333333337</v>
      </c>
      <c r="Q182" s="222"/>
      <c r="R182" s="222"/>
      <c r="S182" s="222"/>
      <c r="T182" s="222"/>
    </row>
    <row r="183" spans="1:20" ht="10.15" customHeight="1">
      <c r="A183" s="319"/>
      <c r="B183" s="245" t="s">
        <v>24</v>
      </c>
      <c r="C183" s="296">
        <f>152</f>
        <v>152</v>
      </c>
      <c r="D183" s="296">
        <f>102</f>
        <v>102</v>
      </c>
      <c r="E183" s="296">
        <v>43</v>
      </c>
      <c r="F183" s="296">
        <f>111</f>
        <v>111</v>
      </c>
      <c r="G183" s="296">
        <f>138</f>
        <v>138</v>
      </c>
      <c r="H183" s="296">
        <v>84</v>
      </c>
      <c r="I183" s="296">
        <v>159</v>
      </c>
      <c r="J183" s="296">
        <v>71</v>
      </c>
      <c r="K183" s="296">
        <v>130</v>
      </c>
      <c r="L183" s="296">
        <f>797+97</f>
        <v>894</v>
      </c>
      <c r="M183" s="296">
        <f>102+35</f>
        <v>137</v>
      </c>
      <c r="N183" s="296">
        <f>48+27</f>
        <v>75</v>
      </c>
      <c r="O183" s="297">
        <f t="shared" si="39"/>
        <v>2096</v>
      </c>
      <c r="P183" s="298">
        <f t="shared" si="40"/>
        <v>174.66666666666666</v>
      </c>
      <c r="Q183" s="222"/>
      <c r="R183" s="222"/>
      <c r="S183" s="222"/>
      <c r="T183" s="222"/>
    </row>
    <row r="184" spans="1:20" ht="10.15" customHeight="1">
      <c r="A184" s="319"/>
      <c r="B184" s="245" t="s">
        <v>25</v>
      </c>
      <c r="C184" s="296">
        <v>0</v>
      </c>
      <c r="D184" s="296">
        <v>0</v>
      </c>
      <c r="E184" s="296">
        <v>0</v>
      </c>
      <c r="F184" s="296">
        <v>0</v>
      </c>
      <c r="G184" s="296">
        <v>0</v>
      </c>
      <c r="H184" s="296">
        <v>0</v>
      </c>
      <c r="I184" s="296">
        <v>0</v>
      </c>
      <c r="J184" s="296">
        <v>0</v>
      </c>
      <c r="K184" s="296">
        <v>0</v>
      </c>
      <c r="L184" s="296">
        <v>0</v>
      </c>
      <c r="M184" s="296">
        <v>0</v>
      </c>
      <c r="N184" s="296">
        <v>0</v>
      </c>
      <c r="O184" s="297">
        <f t="shared" si="39"/>
        <v>0</v>
      </c>
      <c r="P184" s="298">
        <f t="shared" si="40"/>
        <v>0</v>
      </c>
      <c r="Q184" s="222"/>
      <c r="R184" s="222"/>
      <c r="S184" s="222"/>
      <c r="T184" s="222"/>
    </row>
    <row r="185" spans="1:20" ht="10.15" customHeight="1">
      <c r="A185" s="319"/>
      <c r="B185" s="245" t="s">
        <v>26</v>
      </c>
      <c r="C185" s="296">
        <v>43</v>
      </c>
      <c r="D185" s="296">
        <v>36</v>
      </c>
      <c r="E185" s="296">
        <v>29</v>
      </c>
      <c r="F185" s="296">
        <v>55</v>
      </c>
      <c r="G185" s="296">
        <v>106</v>
      </c>
      <c r="H185" s="296">
        <v>77</v>
      </c>
      <c r="I185" s="296">
        <v>120</v>
      </c>
      <c r="J185" s="296">
        <v>32</v>
      </c>
      <c r="K185" s="296">
        <v>90</v>
      </c>
      <c r="L185" s="296">
        <v>6599</v>
      </c>
      <c r="M185" s="296">
        <v>6392</v>
      </c>
      <c r="N185" s="296">
        <v>5022</v>
      </c>
      <c r="O185" s="297">
        <f t="shared" si="39"/>
        <v>18601</v>
      </c>
      <c r="P185" s="298">
        <f t="shared" si="40"/>
        <v>1550.0833333333333</v>
      </c>
      <c r="Q185" s="222"/>
      <c r="R185" s="222"/>
      <c r="S185" s="222"/>
      <c r="T185" s="222"/>
    </row>
    <row r="186" spans="1:20" ht="10.15" customHeight="1">
      <c r="A186" s="319" t="s">
        <v>27</v>
      </c>
      <c r="B186" s="320"/>
      <c r="C186" s="297">
        <f t="shared" ref="C186:N186" si="41">SUM(C178:C185)</f>
        <v>5333</v>
      </c>
      <c r="D186" s="297">
        <f t="shared" si="41"/>
        <v>6496</v>
      </c>
      <c r="E186" s="297">
        <f t="shared" si="41"/>
        <v>3755</v>
      </c>
      <c r="F186" s="297">
        <f t="shared" si="41"/>
        <v>5093</v>
      </c>
      <c r="G186" s="297">
        <f t="shared" si="41"/>
        <v>6044</v>
      </c>
      <c r="H186" s="297">
        <f t="shared" si="41"/>
        <v>3905</v>
      </c>
      <c r="I186" s="297">
        <f t="shared" si="41"/>
        <v>7068</v>
      </c>
      <c r="J186" s="297">
        <f t="shared" si="41"/>
        <v>4522</v>
      </c>
      <c r="K186" s="297">
        <f t="shared" si="41"/>
        <v>4112</v>
      </c>
      <c r="L186" s="297">
        <f t="shared" si="41"/>
        <v>13198</v>
      </c>
      <c r="M186" s="297">
        <f t="shared" si="41"/>
        <v>12785</v>
      </c>
      <c r="N186" s="297">
        <f t="shared" si="41"/>
        <v>10045</v>
      </c>
      <c r="O186" s="297">
        <f t="shared" si="39"/>
        <v>82356</v>
      </c>
      <c r="P186" s="298">
        <f t="shared" si="40"/>
        <v>6863</v>
      </c>
      <c r="Q186" s="222"/>
      <c r="R186" s="222"/>
      <c r="S186" s="222"/>
      <c r="T186" s="222"/>
    </row>
    <row r="187" spans="1:20" ht="10.15" customHeight="1">
      <c r="A187" s="308"/>
      <c r="B187" s="246"/>
      <c r="C187" s="297"/>
      <c r="D187" s="297"/>
      <c r="E187" s="297"/>
      <c r="F187" s="297"/>
      <c r="G187" s="297"/>
      <c r="H187" s="297"/>
      <c r="I187" s="297"/>
      <c r="J187" s="297"/>
      <c r="K187" s="297"/>
      <c r="L187" s="297"/>
      <c r="M187" s="297"/>
      <c r="N187" s="297"/>
      <c r="O187" s="297"/>
      <c r="P187" s="298"/>
      <c r="Q187" s="222"/>
      <c r="R187" s="222"/>
      <c r="S187" s="222"/>
      <c r="T187" s="222"/>
    </row>
    <row r="188" spans="1:20" ht="10.15" customHeight="1">
      <c r="A188" s="319" t="s">
        <v>28</v>
      </c>
      <c r="B188" s="245" t="s">
        <v>29</v>
      </c>
      <c r="C188" s="296">
        <v>1229</v>
      </c>
      <c r="D188" s="296">
        <v>2520</v>
      </c>
      <c r="E188" s="296">
        <v>1860</v>
      </c>
      <c r="F188" s="296">
        <v>2186</v>
      </c>
      <c r="G188" s="296">
        <v>2976</v>
      </c>
      <c r="H188" s="296">
        <v>850</v>
      </c>
      <c r="I188" s="296">
        <v>3590</v>
      </c>
      <c r="J188" s="296">
        <v>1420</v>
      </c>
      <c r="K188" s="296">
        <v>1823</v>
      </c>
      <c r="L188" s="296">
        <v>2121</v>
      </c>
      <c r="M188" s="296">
        <v>1538</v>
      </c>
      <c r="N188" s="296">
        <v>2164</v>
      </c>
      <c r="O188" s="297">
        <f>SUM(C188:N188)</f>
        <v>24277</v>
      </c>
      <c r="P188" s="298">
        <f>O188/12</f>
        <v>2023.0833333333333</v>
      </c>
      <c r="Q188" s="222"/>
      <c r="R188" s="222"/>
      <c r="S188" s="222"/>
      <c r="T188" s="222"/>
    </row>
    <row r="189" spans="1:20" ht="10.15" customHeight="1">
      <c r="A189" s="319"/>
      <c r="B189" s="245" t="s">
        <v>30</v>
      </c>
      <c r="C189" s="296">
        <v>25544</v>
      </c>
      <c r="D189" s="296">
        <v>8674</v>
      </c>
      <c r="E189" s="296">
        <v>16926</v>
      </c>
      <c r="F189" s="296">
        <v>13738</v>
      </c>
      <c r="G189" s="296">
        <v>6474</v>
      </c>
      <c r="H189" s="296">
        <v>9468</v>
      </c>
      <c r="I189" s="296">
        <v>4160</v>
      </c>
      <c r="J189" s="296">
        <v>11622</v>
      </c>
      <c r="K189" s="296">
        <v>2428</v>
      </c>
      <c r="L189" s="296">
        <v>10230</v>
      </c>
      <c r="M189" s="296">
        <v>6361</v>
      </c>
      <c r="N189" s="296">
        <v>14640</v>
      </c>
      <c r="O189" s="297">
        <f>SUM(C189:N189)</f>
        <v>130265</v>
      </c>
      <c r="P189" s="298">
        <f>O189/12</f>
        <v>10855.416666666666</v>
      </c>
      <c r="Q189" s="222"/>
      <c r="R189" s="222"/>
      <c r="S189" s="222"/>
      <c r="T189" s="222"/>
    </row>
    <row r="190" spans="1:20" ht="10.15" customHeight="1">
      <c r="A190" s="319"/>
      <c r="B190" s="245" t="s">
        <v>31</v>
      </c>
      <c r="C190" s="296">
        <v>4160</v>
      </c>
      <c r="D190" s="296">
        <v>6649</v>
      </c>
      <c r="E190" s="296">
        <v>4575</v>
      </c>
      <c r="F190" s="296">
        <v>5880</v>
      </c>
      <c r="G190" s="296">
        <v>4042</v>
      </c>
      <c r="H190" s="296">
        <v>8320</v>
      </c>
      <c r="I190" s="296">
        <v>4987</v>
      </c>
      <c r="J190" s="296">
        <v>6615</v>
      </c>
      <c r="K190" s="296">
        <v>6640</v>
      </c>
      <c r="L190" s="296">
        <v>4100</v>
      </c>
      <c r="M190" s="296">
        <v>5860</v>
      </c>
      <c r="N190" s="296">
        <v>5020</v>
      </c>
      <c r="O190" s="297">
        <f>SUM(C190:N190)</f>
        <v>66848</v>
      </c>
      <c r="P190" s="298">
        <f>O190/12</f>
        <v>5570.666666666667</v>
      </c>
      <c r="Q190" s="222"/>
      <c r="R190" s="222"/>
      <c r="S190" s="222"/>
      <c r="T190" s="222"/>
    </row>
    <row r="191" spans="1:20" ht="10.15" customHeight="1">
      <c r="A191" s="319"/>
      <c r="B191" s="245" t="s">
        <v>32</v>
      </c>
      <c r="C191" s="296">
        <v>900</v>
      </c>
      <c r="D191" s="296">
        <v>1780</v>
      </c>
      <c r="E191" s="296">
        <v>920</v>
      </c>
      <c r="F191" s="296">
        <v>1620</v>
      </c>
      <c r="G191" s="296">
        <v>1040</v>
      </c>
      <c r="H191" s="296">
        <v>1610</v>
      </c>
      <c r="I191" s="296">
        <v>653</v>
      </c>
      <c r="J191" s="296">
        <v>1322</v>
      </c>
      <c r="K191" s="296">
        <v>2380</v>
      </c>
      <c r="L191" s="296">
        <v>2040</v>
      </c>
      <c r="M191" s="296">
        <v>1420</v>
      </c>
      <c r="N191" s="296">
        <v>800</v>
      </c>
      <c r="O191" s="297">
        <f>SUM(C191:N191)</f>
        <v>16485</v>
      </c>
      <c r="P191" s="298">
        <f>O191/12</f>
        <v>1373.75</v>
      </c>
      <c r="Q191" s="222"/>
      <c r="R191" s="222"/>
      <c r="S191" s="222"/>
      <c r="T191" s="222"/>
    </row>
    <row r="192" spans="1:20" ht="10.15" customHeight="1">
      <c r="A192" s="319" t="s">
        <v>27</v>
      </c>
      <c r="B192" s="320"/>
      <c r="C192" s="297">
        <f t="shared" ref="C192:N192" si="42">SUM(C188:C191)</f>
        <v>31833</v>
      </c>
      <c r="D192" s="297">
        <f t="shared" si="42"/>
        <v>19623</v>
      </c>
      <c r="E192" s="297">
        <f t="shared" si="42"/>
        <v>24281</v>
      </c>
      <c r="F192" s="297">
        <f t="shared" si="42"/>
        <v>23424</v>
      </c>
      <c r="G192" s="297">
        <f t="shared" si="42"/>
        <v>14532</v>
      </c>
      <c r="H192" s="297">
        <f t="shared" si="42"/>
        <v>20248</v>
      </c>
      <c r="I192" s="297">
        <f t="shared" si="42"/>
        <v>13390</v>
      </c>
      <c r="J192" s="297">
        <f t="shared" si="42"/>
        <v>20979</v>
      </c>
      <c r="K192" s="297">
        <f t="shared" si="42"/>
        <v>13271</v>
      </c>
      <c r="L192" s="297">
        <f t="shared" si="42"/>
        <v>18491</v>
      </c>
      <c r="M192" s="297">
        <f t="shared" si="42"/>
        <v>15179</v>
      </c>
      <c r="N192" s="297">
        <f t="shared" si="42"/>
        <v>22624</v>
      </c>
      <c r="O192" s="297">
        <f>SUM(C192:N192)</f>
        <v>237875</v>
      </c>
      <c r="P192" s="298">
        <f>O192/12</f>
        <v>19822.916666666668</v>
      </c>
      <c r="Q192" s="222"/>
      <c r="R192" s="222"/>
      <c r="S192" s="222"/>
      <c r="T192" s="222"/>
    </row>
    <row r="193" spans="1:20" ht="10.15" customHeight="1">
      <c r="A193" s="308"/>
      <c r="B193" s="246"/>
      <c r="C193" s="297"/>
      <c r="D193" s="297"/>
      <c r="E193" s="297"/>
      <c r="F193" s="297"/>
      <c r="G193" s="297"/>
      <c r="H193" s="297"/>
      <c r="I193" s="297"/>
      <c r="J193" s="297"/>
      <c r="K193" s="297"/>
      <c r="L193" s="297"/>
      <c r="M193" s="297"/>
      <c r="N193" s="297"/>
      <c r="O193" s="297"/>
      <c r="P193" s="298"/>
      <c r="Q193" s="222"/>
      <c r="R193" s="222"/>
      <c r="S193" s="222"/>
      <c r="T193" s="222"/>
    </row>
    <row r="194" spans="1:20" ht="10.15" customHeight="1">
      <c r="A194" s="319" t="s">
        <v>33</v>
      </c>
      <c r="B194" s="245" t="s">
        <v>34</v>
      </c>
      <c r="C194" s="296">
        <v>0</v>
      </c>
      <c r="D194" s="296">
        <v>0</v>
      </c>
      <c r="E194" s="296">
        <v>0</v>
      </c>
      <c r="F194" s="296">
        <v>0</v>
      </c>
      <c r="G194" s="296">
        <v>0</v>
      </c>
      <c r="H194" s="296">
        <v>0</v>
      </c>
      <c r="I194" s="296">
        <v>0</v>
      </c>
      <c r="J194" s="296">
        <v>0</v>
      </c>
      <c r="K194" s="296">
        <v>0</v>
      </c>
      <c r="L194" s="296">
        <v>0</v>
      </c>
      <c r="M194" s="296">
        <v>0</v>
      </c>
      <c r="N194" s="296">
        <v>0</v>
      </c>
      <c r="O194" s="294">
        <f>SUM(C194:N194)</f>
        <v>0</v>
      </c>
      <c r="P194" s="295">
        <f>O194/12</f>
        <v>0</v>
      </c>
      <c r="Q194" s="222"/>
      <c r="R194" s="222"/>
      <c r="S194" s="222"/>
      <c r="T194" s="222"/>
    </row>
    <row r="195" spans="1:20" ht="10.15" customHeight="1">
      <c r="A195" s="319"/>
      <c r="B195" s="245" t="s">
        <v>35</v>
      </c>
      <c r="C195" s="296">
        <v>0</v>
      </c>
      <c r="D195" s="296">
        <v>0</v>
      </c>
      <c r="E195" s="296">
        <v>0</v>
      </c>
      <c r="F195" s="296">
        <v>0</v>
      </c>
      <c r="G195" s="296">
        <v>0</v>
      </c>
      <c r="H195" s="296">
        <v>0</v>
      </c>
      <c r="I195" s="296">
        <v>0</v>
      </c>
      <c r="J195" s="296">
        <v>0</v>
      </c>
      <c r="K195" s="296">
        <v>0</v>
      </c>
      <c r="L195" s="296">
        <v>0</v>
      </c>
      <c r="M195" s="296">
        <v>0</v>
      </c>
      <c r="N195" s="296">
        <v>0</v>
      </c>
      <c r="O195" s="294">
        <f>SUM(C195:N195)</f>
        <v>0</v>
      </c>
      <c r="P195" s="295">
        <f>O195/12</f>
        <v>0</v>
      </c>
      <c r="Q195" s="222"/>
      <c r="R195" s="222"/>
      <c r="S195" s="222"/>
      <c r="T195" s="222"/>
    </row>
    <row r="196" spans="1:20" ht="10.15" customHeight="1">
      <c r="A196" s="319" t="s">
        <v>27</v>
      </c>
      <c r="B196" s="320"/>
      <c r="C196" s="297">
        <f>SUM(C194:C195)</f>
        <v>0</v>
      </c>
      <c r="D196" s="297">
        <f t="shared" ref="D196:N196" si="43">SUM(D194:D195)</f>
        <v>0</v>
      </c>
      <c r="E196" s="297">
        <f t="shared" si="43"/>
        <v>0</v>
      </c>
      <c r="F196" s="297">
        <f t="shared" si="43"/>
        <v>0</v>
      </c>
      <c r="G196" s="297">
        <f t="shared" si="43"/>
        <v>0</v>
      </c>
      <c r="H196" s="297">
        <f t="shared" si="43"/>
        <v>0</v>
      </c>
      <c r="I196" s="297">
        <f t="shared" si="43"/>
        <v>0</v>
      </c>
      <c r="J196" s="297">
        <f t="shared" si="43"/>
        <v>0</v>
      </c>
      <c r="K196" s="297">
        <f t="shared" si="43"/>
        <v>0</v>
      </c>
      <c r="L196" s="297">
        <f t="shared" si="43"/>
        <v>0</v>
      </c>
      <c r="M196" s="297">
        <f t="shared" si="43"/>
        <v>0</v>
      </c>
      <c r="N196" s="297">
        <f t="shared" si="43"/>
        <v>0</v>
      </c>
      <c r="O196" s="294">
        <f>SUM(C196:N196)</f>
        <v>0</v>
      </c>
      <c r="P196" s="295">
        <f>O196/12</f>
        <v>0</v>
      </c>
      <c r="Q196" s="222"/>
      <c r="R196" s="222"/>
      <c r="S196" s="222"/>
      <c r="T196" s="222"/>
    </row>
    <row r="197" spans="1:20" ht="10.15" customHeight="1">
      <c r="A197" s="308"/>
      <c r="B197" s="246"/>
      <c r="C197" s="297"/>
      <c r="D197" s="297"/>
      <c r="E197" s="297"/>
      <c r="F197" s="297"/>
      <c r="G197" s="297"/>
      <c r="H197" s="297"/>
      <c r="I197" s="297"/>
      <c r="J197" s="297"/>
      <c r="K197" s="297"/>
      <c r="L197" s="297"/>
      <c r="M197" s="297"/>
      <c r="N197" s="297"/>
      <c r="O197" s="294"/>
      <c r="P197" s="295"/>
      <c r="Q197" s="222"/>
      <c r="R197" s="222"/>
      <c r="S197" s="222"/>
      <c r="T197" s="222"/>
    </row>
    <row r="198" spans="1:20" ht="10.15" customHeight="1">
      <c r="A198" s="319" t="s">
        <v>36</v>
      </c>
      <c r="B198" s="245" t="s">
        <v>37</v>
      </c>
      <c r="C198" s="296">
        <v>0</v>
      </c>
      <c r="D198" s="296">
        <v>0</v>
      </c>
      <c r="E198" s="296">
        <v>0</v>
      </c>
      <c r="F198" s="296">
        <v>0</v>
      </c>
      <c r="G198" s="296">
        <v>0</v>
      </c>
      <c r="H198" s="296">
        <v>0</v>
      </c>
      <c r="I198" s="296">
        <v>0</v>
      </c>
      <c r="J198" s="296">
        <v>0</v>
      </c>
      <c r="K198" s="296">
        <v>0</v>
      </c>
      <c r="L198" s="296">
        <v>0</v>
      </c>
      <c r="M198" s="296">
        <v>0</v>
      </c>
      <c r="N198" s="296">
        <v>0</v>
      </c>
      <c r="O198" s="294">
        <f>SUM(C198:N198)</f>
        <v>0</v>
      </c>
      <c r="P198" s="295">
        <f>O198/12</f>
        <v>0</v>
      </c>
      <c r="Q198" s="222"/>
      <c r="R198" s="222"/>
      <c r="S198" s="222"/>
      <c r="T198" s="222"/>
    </row>
    <row r="199" spans="1:20" ht="10.15" customHeight="1">
      <c r="A199" s="319"/>
      <c r="B199" s="245" t="s">
        <v>38</v>
      </c>
      <c r="C199" s="296">
        <v>781</v>
      </c>
      <c r="D199" s="296">
        <v>1986</v>
      </c>
      <c r="E199" s="296">
        <v>895</v>
      </c>
      <c r="F199" s="296">
        <v>618</v>
      </c>
      <c r="G199" s="296">
        <v>1251</v>
      </c>
      <c r="H199" s="296">
        <v>924</v>
      </c>
      <c r="I199" s="296">
        <v>1244</v>
      </c>
      <c r="J199" s="296">
        <v>1073</v>
      </c>
      <c r="K199" s="296">
        <v>722</v>
      </c>
      <c r="L199" s="296">
        <v>1568</v>
      </c>
      <c r="M199" s="296">
        <v>1085</v>
      </c>
      <c r="N199" s="296">
        <v>1205</v>
      </c>
      <c r="O199" s="294">
        <f>SUM(C199:N199)</f>
        <v>13352</v>
      </c>
      <c r="P199" s="295">
        <f>O199/12</f>
        <v>1112.6666666666667</v>
      </c>
      <c r="Q199" s="222"/>
      <c r="R199" s="222"/>
      <c r="S199" s="222"/>
      <c r="T199" s="222"/>
    </row>
    <row r="200" spans="1:20" ht="10.15" customHeight="1">
      <c r="A200" s="319"/>
      <c r="B200" s="245" t="s">
        <v>39</v>
      </c>
      <c r="C200" s="296">
        <v>0</v>
      </c>
      <c r="D200" s="296">
        <v>268</v>
      </c>
      <c r="E200" s="296">
        <v>0</v>
      </c>
      <c r="F200" s="296">
        <v>0</v>
      </c>
      <c r="G200" s="296">
        <v>0</v>
      </c>
      <c r="H200" s="296">
        <v>0</v>
      </c>
      <c r="I200" s="296">
        <v>0</v>
      </c>
      <c r="J200" s="296">
        <v>0</v>
      </c>
      <c r="K200" s="296">
        <v>0</v>
      </c>
      <c r="L200" s="296">
        <v>0</v>
      </c>
      <c r="M200" s="296">
        <v>0</v>
      </c>
      <c r="N200" s="296">
        <v>0</v>
      </c>
      <c r="O200" s="294">
        <f>SUM(C200:N200)</f>
        <v>268</v>
      </c>
      <c r="P200" s="295">
        <f>O200/12</f>
        <v>22.333333333333332</v>
      </c>
      <c r="Q200" s="222"/>
      <c r="R200" s="222"/>
      <c r="S200" s="222"/>
      <c r="T200" s="222"/>
    </row>
    <row r="201" spans="1:20" ht="10.15" customHeight="1">
      <c r="A201" s="319" t="s">
        <v>27</v>
      </c>
      <c r="B201" s="320"/>
      <c r="C201" s="285">
        <f t="shared" ref="C201:N201" si="44">SUM(C198:C200)</f>
        <v>781</v>
      </c>
      <c r="D201" s="285">
        <f t="shared" si="44"/>
        <v>2254</v>
      </c>
      <c r="E201" s="285">
        <f t="shared" si="44"/>
        <v>895</v>
      </c>
      <c r="F201" s="285">
        <f t="shared" si="44"/>
        <v>618</v>
      </c>
      <c r="G201" s="285">
        <f t="shared" si="44"/>
        <v>1251</v>
      </c>
      <c r="H201" s="285">
        <f t="shared" si="44"/>
        <v>924</v>
      </c>
      <c r="I201" s="285">
        <f t="shared" si="44"/>
        <v>1244</v>
      </c>
      <c r="J201" s="285">
        <f t="shared" si="44"/>
        <v>1073</v>
      </c>
      <c r="K201" s="285">
        <f t="shared" si="44"/>
        <v>722</v>
      </c>
      <c r="L201" s="285">
        <f t="shared" si="44"/>
        <v>1568</v>
      </c>
      <c r="M201" s="285">
        <f t="shared" si="44"/>
        <v>1085</v>
      </c>
      <c r="N201" s="285">
        <f t="shared" si="44"/>
        <v>1205</v>
      </c>
      <c r="O201" s="294">
        <f>SUM(C201:N201)</f>
        <v>13620</v>
      </c>
      <c r="P201" s="295">
        <f>O201/12</f>
        <v>1135</v>
      </c>
      <c r="Q201" s="222"/>
      <c r="R201" s="222"/>
      <c r="S201" s="222"/>
      <c r="T201" s="222"/>
    </row>
    <row r="202" spans="1:20" ht="10.15" customHeight="1">
      <c r="A202" s="308"/>
      <c r="B202" s="246"/>
      <c r="C202" s="297"/>
      <c r="D202" s="297"/>
      <c r="E202" s="297"/>
      <c r="F202" s="297"/>
      <c r="G202" s="297"/>
      <c r="H202" s="297"/>
      <c r="I202" s="297"/>
      <c r="J202" s="297"/>
      <c r="K202" s="297"/>
      <c r="L202" s="297"/>
      <c r="M202" s="297"/>
      <c r="N202" s="297"/>
      <c r="O202" s="294"/>
      <c r="P202" s="295"/>
      <c r="Q202" s="222"/>
      <c r="R202" s="222"/>
      <c r="S202" s="222"/>
      <c r="T202" s="222"/>
    </row>
    <row r="203" spans="1:20" ht="10.15" customHeight="1">
      <c r="A203" s="319" t="s">
        <v>13</v>
      </c>
      <c r="B203" s="245" t="s">
        <v>40</v>
      </c>
      <c r="C203" s="296">
        <v>0</v>
      </c>
      <c r="D203" s="296">
        <v>160</v>
      </c>
      <c r="E203" s="296">
        <v>169</v>
      </c>
      <c r="F203" s="296">
        <v>214</v>
      </c>
      <c r="G203" s="296">
        <v>261</v>
      </c>
      <c r="H203" s="296">
        <v>0</v>
      </c>
      <c r="I203" s="296">
        <v>236</v>
      </c>
      <c r="J203" s="296">
        <v>240</v>
      </c>
      <c r="K203" s="296">
        <v>0</v>
      </c>
      <c r="L203" s="296">
        <v>202</v>
      </c>
      <c r="M203" s="296">
        <v>0</v>
      </c>
      <c r="N203" s="296">
        <v>0</v>
      </c>
      <c r="O203" s="297">
        <f t="shared" ref="O203:O210" si="45">SUM(C203:N203)</f>
        <v>1482</v>
      </c>
      <c r="P203" s="298">
        <f>O203/12</f>
        <v>123.5</v>
      </c>
      <c r="Q203" s="222"/>
      <c r="R203" s="222"/>
      <c r="S203" s="222"/>
      <c r="T203" s="222"/>
    </row>
    <row r="204" spans="1:20" ht="10.15" customHeight="1">
      <c r="A204" s="319"/>
      <c r="B204" s="245" t="s">
        <v>41</v>
      </c>
      <c r="C204" s="296">
        <v>0</v>
      </c>
      <c r="D204" s="296">
        <v>0</v>
      </c>
      <c r="E204" s="296">
        <v>0</v>
      </c>
      <c r="F204" s="296">
        <v>0</v>
      </c>
      <c r="G204" s="296">
        <v>0</v>
      </c>
      <c r="H204" s="296">
        <v>0</v>
      </c>
      <c r="I204" s="296">
        <v>0</v>
      </c>
      <c r="J204" s="296">
        <v>0</v>
      </c>
      <c r="K204" s="296">
        <v>0</v>
      </c>
      <c r="L204" s="296">
        <v>0</v>
      </c>
      <c r="M204" s="296">
        <v>0</v>
      </c>
      <c r="N204" s="296">
        <v>0</v>
      </c>
      <c r="O204" s="297">
        <f t="shared" si="45"/>
        <v>0</v>
      </c>
      <c r="P204" s="298">
        <f t="shared" ref="P204:P208" si="46">O204/12</f>
        <v>0</v>
      </c>
      <c r="Q204" s="222"/>
      <c r="R204" s="222"/>
      <c r="S204" s="222"/>
      <c r="T204" s="222"/>
    </row>
    <row r="205" spans="1:20" ht="10.15" customHeight="1">
      <c r="A205" s="319"/>
      <c r="B205" s="245" t="s">
        <v>42</v>
      </c>
      <c r="C205" s="296">
        <v>280</v>
      </c>
      <c r="D205" s="296">
        <v>520</v>
      </c>
      <c r="E205" s="296">
        <v>340</v>
      </c>
      <c r="F205" s="296">
        <v>484</v>
      </c>
      <c r="G205" s="296">
        <v>0</v>
      </c>
      <c r="H205" s="296">
        <v>0</v>
      </c>
      <c r="I205" s="296">
        <v>0</v>
      </c>
      <c r="J205" s="296">
        <v>1420</v>
      </c>
      <c r="K205" s="296">
        <v>124</v>
      </c>
      <c r="L205" s="296">
        <v>586</v>
      </c>
      <c r="M205" s="296">
        <v>309</v>
      </c>
      <c r="N205" s="296">
        <v>476</v>
      </c>
      <c r="O205" s="297">
        <f t="shared" si="45"/>
        <v>4539</v>
      </c>
      <c r="P205" s="298">
        <f>O205/12</f>
        <v>378.25</v>
      </c>
      <c r="Q205" s="222"/>
      <c r="R205" s="222"/>
      <c r="S205" s="222"/>
      <c r="T205" s="222"/>
    </row>
    <row r="206" spans="1:20" ht="10.15" customHeight="1">
      <c r="A206" s="319"/>
      <c r="B206" s="245" t="s">
        <v>43</v>
      </c>
      <c r="C206" s="296">
        <v>4880</v>
      </c>
      <c r="D206" s="296">
        <v>4921</v>
      </c>
      <c r="E206" s="296">
        <v>4516</v>
      </c>
      <c r="F206" s="296">
        <v>3812</v>
      </c>
      <c r="G206" s="296">
        <v>6907</v>
      </c>
      <c r="H206" s="296">
        <v>4580</v>
      </c>
      <c r="I206" s="296">
        <v>4662</v>
      </c>
      <c r="J206" s="296">
        <v>6675</v>
      </c>
      <c r="K206" s="296">
        <v>4260</v>
      </c>
      <c r="L206" s="296">
        <v>4423</v>
      </c>
      <c r="M206" s="296">
        <v>4816</v>
      </c>
      <c r="N206" s="296">
        <v>6093</v>
      </c>
      <c r="O206" s="297">
        <f t="shared" si="45"/>
        <v>60545</v>
      </c>
      <c r="P206" s="298">
        <f>O206/12</f>
        <v>5045.416666666667</v>
      </c>
      <c r="Q206" s="222"/>
      <c r="R206" s="222"/>
      <c r="S206" s="222"/>
      <c r="T206" s="222"/>
    </row>
    <row r="207" spans="1:20" ht="10.15" customHeight="1">
      <c r="A207" s="319"/>
      <c r="B207" s="245" t="s">
        <v>44</v>
      </c>
      <c r="C207" s="296"/>
      <c r="D207" s="296">
        <v>0</v>
      </c>
      <c r="E207" s="296">
        <v>0</v>
      </c>
      <c r="F207" s="296">
        <v>0</v>
      </c>
      <c r="G207" s="296">
        <v>0</v>
      </c>
      <c r="H207" s="296">
        <v>0</v>
      </c>
      <c r="I207" s="296">
        <v>0</v>
      </c>
      <c r="J207" s="296">
        <v>0</v>
      </c>
      <c r="K207" s="296">
        <v>0</v>
      </c>
      <c r="L207" s="296">
        <v>0</v>
      </c>
      <c r="M207" s="296">
        <v>500</v>
      </c>
      <c r="N207" s="296">
        <v>0</v>
      </c>
      <c r="O207" s="297">
        <f t="shared" si="45"/>
        <v>500</v>
      </c>
      <c r="P207" s="298">
        <f>O207/12</f>
        <v>41.666666666666664</v>
      </c>
      <c r="Q207" s="222"/>
      <c r="R207" s="222"/>
      <c r="S207" s="222"/>
      <c r="T207" s="222"/>
    </row>
    <row r="208" spans="1:20" ht="10.15" customHeight="1">
      <c r="A208" s="319"/>
      <c r="B208" s="245" t="s">
        <v>45</v>
      </c>
      <c r="C208" s="296">
        <v>0</v>
      </c>
      <c r="D208" s="296">
        <v>0</v>
      </c>
      <c r="E208" s="296">
        <v>0</v>
      </c>
      <c r="F208" s="296">
        <v>0</v>
      </c>
      <c r="G208" s="296">
        <v>0</v>
      </c>
      <c r="H208" s="296">
        <v>0</v>
      </c>
      <c r="I208" s="296">
        <v>0</v>
      </c>
      <c r="J208" s="296">
        <v>0</v>
      </c>
      <c r="K208" s="296">
        <v>0</v>
      </c>
      <c r="L208" s="296">
        <v>0</v>
      </c>
      <c r="M208" s="296">
        <v>0</v>
      </c>
      <c r="N208" s="296">
        <v>0</v>
      </c>
      <c r="O208" s="297">
        <f t="shared" si="45"/>
        <v>0</v>
      </c>
      <c r="P208" s="298">
        <f t="shared" si="46"/>
        <v>0</v>
      </c>
      <c r="Q208" s="222"/>
      <c r="R208" s="222"/>
      <c r="S208" s="222"/>
      <c r="T208" s="222"/>
    </row>
    <row r="209" spans="1:20" ht="10.15" customHeight="1">
      <c r="A209" s="319"/>
      <c r="B209" s="245" t="s">
        <v>46</v>
      </c>
      <c r="C209" s="296">
        <v>8593</v>
      </c>
      <c r="D209" s="296">
        <v>9622</v>
      </c>
      <c r="E209" s="296">
        <v>10448</v>
      </c>
      <c r="F209" s="296">
        <v>13913</v>
      </c>
      <c r="G209" s="296">
        <v>12272</v>
      </c>
      <c r="H209" s="296">
        <v>12809</v>
      </c>
      <c r="I209" s="296">
        <v>20368</v>
      </c>
      <c r="J209" s="296">
        <v>12849</v>
      </c>
      <c r="K209" s="296">
        <v>15465</v>
      </c>
      <c r="L209" s="296">
        <v>13984</v>
      </c>
      <c r="M209" s="296">
        <v>10842</v>
      </c>
      <c r="N209" s="296">
        <v>10711</v>
      </c>
      <c r="O209" s="297">
        <f t="shared" si="45"/>
        <v>151876</v>
      </c>
      <c r="P209" s="298">
        <f>O209/12</f>
        <v>12656.333333333334</v>
      </c>
      <c r="Q209" s="222"/>
      <c r="R209" s="222"/>
      <c r="S209" s="222"/>
      <c r="T209" s="222"/>
    </row>
    <row r="210" spans="1:20" ht="10.15" customHeight="1">
      <c r="A210" s="319" t="s">
        <v>27</v>
      </c>
      <c r="B210" s="320"/>
      <c r="C210" s="285">
        <f t="shared" ref="C210:N210" si="47">SUM(C203:C209)</f>
        <v>13753</v>
      </c>
      <c r="D210" s="285">
        <f t="shared" si="47"/>
        <v>15223</v>
      </c>
      <c r="E210" s="285">
        <f t="shared" si="47"/>
        <v>15473</v>
      </c>
      <c r="F210" s="285">
        <f t="shared" si="47"/>
        <v>18423</v>
      </c>
      <c r="G210" s="285">
        <f t="shared" si="47"/>
        <v>19440</v>
      </c>
      <c r="H210" s="285">
        <f t="shared" si="47"/>
        <v>17389</v>
      </c>
      <c r="I210" s="285">
        <f t="shared" si="47"/>
        <v>25266</v>
      </c>
      <c r="J210" s="285">
        <f t="shared" si="47"/>
        <v>21184</v>
      </c>
      <c r="K210" s="285">
        <f t="shared" si="47"/>
        <v>19849</v>
      </c>
      <c r="L210" s="285">
        <f t="shared" si="47"/>
        <v>19195</v>
      </c>
      <c r="M210" s="285">
        <f t="shared" si="47"/>
        <v>16467</v>
      </c>
      <c r="N210" s="285">
        <f t="shared" si="47"/>
        <v>17280</v>
      </c>
      <c r="O210" s="294">
        <f t="shared" si="45"/>
        <v>218942</v>
      </c>
      <c r="P210" s="295">
        <f>O210/12</f>
        <v>18245.166666666668</v>
      </c>
      <c r="Q210" s="222"/>
      <c r="R210" s="222"/>
      <c r="S210" s="222"/>
      <c r="T210" s="222"/>
    </row>
    <row r="211" spans="1:20" ht="10.15" customHeight="1">
      <c r="A211" s="306"/>
      <c r="B211" s="307"/>
      <c r="C211" s="285"/>
      <c r="D211" s="299"/>
      <c r="E211" s="285"/>
      <c r="F211" s="285"/>
      <c r="G211" s="285"/>
      <c r="H211" s="285"/>
      <c r="I211" s="285"/>
      <c r="J211" s="285"/>
      <c r="K211" s="285"/>
      <c r="L211" s="285"/>
      <c r="M211" s="285"/>
      <c r="N211" s="285"/>
      <c r="O211" s="300"/>
      <c r="P211" s="301"/>
      <c r="Q211" s="222"/>
      <c r="R211" s="222"/>
      <c r="S211" s="222"/>
      <c r="T211" s="222"/>
    </row>
    <row r="212" spans="1:20" s="312" customFormat="1" ht="10.15" customHeight="1">
      <c r="A212" s="321" t="s">
        <v>47</v>
      </c>
      <c r="B212" s="322"/>
      <c r="C212" s="302">
        <f t="shared" ref="C212:N212" si="48">C210+C201+C196+C192+C186</f>
        <v>51700</v>
      </c>
      <c r="D212" s="302">
        <f t="shared" si="48"/>
        <v>43596</v>
      </c>
      <c r="E212" s="302">
        <f t="shared" si="48"/>
        <v>44404</v>
      </c>
      <c r="F212" s="302">
        <f t="shared" si="48"/>
        <v>47558</v>
      </c>
      <c r="G212" s="302">
        <f t="shared" si="48"/>
        <v>41267</v>
      </c>
      <c r="H212" s="302">
        <f t="shared" si="48"/>
        <v>42466</v>
      </c>
      <c r="I212" s="302">
        <f t="shared" si="48"/>
        <v>46968</v>
      </c>
      <c r="J212" s="302">
        <f t="shared" si="48"/>
        <v>47758</v>
      </c>
      <c r="K212" s="302">
        <f t="shared" si="48"/>
        <v>37954</v>
      </c>
      <c r="L212" s="302">
        <f t="shared" si="48"/>
        <v>52452</v>
      </c>
      <c r="M212" s="302">
        <f t="shared" si="48"/>
        <v>45516</v>
      </c>
      <c r="N212" s="302">
        <f t="shared" si="48"/>
        <v>51154</v>
      </c>
      <c r="O212" s="302">
        <f>SUM(C212:N212)</f>
        <v>552793</v>
      </c>
      <c r="P212" s="303">
        <f>O212/12</f>
        <v>46066.083333333336</v>
      </c>
      <c r="Q212" s="222"/>
      <c r="R212" s="222"/>
      <c r="S212" s="222"/>
      <c r="T212" s="222"/>
    </row>
    <row r="213" spans="1:20" ht="10.15" customHeight="1">
      <c r="A213" s="317"/>
      <c r="B213" s="318"/>
      <c r="C213" s="285"/>
      <c r="D213" s="285"/>
      <c r="E213" s="285"/>
      <c r="F213" s="285"/>
      <c r="G213" s="285"/>
      <c r="H213" s="285"/>
      <c r="I213" s="285"/>
      <c r="J213" s="285"/>
      <c r="K213" s="285"/>
      <c r="L213" s="285"/>
      <c r="M213" s="285"/>
      <c r="N213" s="285"/>
      <c r="O213" s="285"/>
      <c r="P213" s="286"/>
      <c r="Q213" s="222"/>
      <c r="R213" s="222"/>
      <c r="S213" s="222"/>
      <c r="T213" s="222"/>
    </row>
    <row r="214" spans="1:20" ht="10.15" customHeight="1">
      <c r="A214" s="315" t="s">
        <v>48</v>
      </c>
      <c r="B214" s="316"/>
      <c r="C214" s="285"/>
      <c r="D214" s="285"/>
      <c r="E214" s="285"/>
      <c r="F214" s="285"/>
      <c r="G214" s="285"/>
      <c r="H214" s="285"/>
      <c r="I214" s="285"/>
      <c r="J214" s="285"/>
      <c r="K214" s="285"/>
      <c r="L214" s="285"/>
      <c r="M214" s="285"/>
      <c r="N214" s="285"/>
      <c r="O214" s="285"/>
      <c r="P214" s="286"/>
      <c r="Q214" s="222"/>
      <c r="R214" s="222"/>
      <c r="S214" s="222"/>
      <c r="T214" s="222"/>
    </row>
    <row r="215" spans="1:20" ht="10.15" customHeight="1">
      <c r="A215" s="317"/>
      <c r="B215" s="318"/>
      <c r="C215" s="285"/>
      <c r="D215" s="285"/>
      <c r="E215" s="285"/>
      <c r="F215" s="285"/>
      <c r="G215" s="285"/>
      <c r="H215" s="285"/>
      <c r="I215" s="285"/>
      <c r="J215" s="285"/>
      <c r="K215" s="285"/>
      <c r="L215" s="285"/>
      <c r="M215" s="285"/>
      <c r="N215" s="285"/>
      <c r="O215" s="285"/>
      <c r="P215" s="286"/>
      <c r="Q215" s="222"/>
      <c r="R215" s="222"/>
      <c r="S215" s="222"/>
      <c r="T215" s="222"/>
    </row>
    <row r="216" spans="1:20" ht="10.15" customHeight="1" thickBot="1">
      <c r="A216" s="315" t="s">
        <v>6</v>
      </c>
      <c r="B216" s="316"/>
      <c r="C216" s="285">
        <f t="shared" ref="C216:N216" si="49">C174+C212</f>
        <v>102440</v>
      </c>
      <c r="D216" s="285">
        <f t="shared" si="49"/>
        <v>83246</v>
      </c>
      <c r="E216" s="285">
        <f t="shared" si="49"/>
        <v>78444</v>
      </c>
      <c r="F216" s="285">
        <f t="shared" si="49"/>
        <v>94288</v>
      </c>
      <c r="G216" s="285">
        <f t="shared" si="49"/>
        <v>73427</v>
      </c>
      <c r="H216" s="285">
        <f t="shared" si="49"/>
        <v>77756</v>
      </c>
      <c r="I216" s="285">
        <f t="shared" si="49"/>
        <v>88558</v>
      </c>
      <c r="J216" s="285">
        <f t="shared" si="49"/>
        <v>82018</v>
      </c>
      <c r="K216" s="285">
        <f t="shared" si="49"/>
        <v>85804</v>
      </c>
      <c r="L216" s="285">
        <f t="shared" si="49"/>
        <v>99982</v>
      </c>
      <c r="M216" s="285">
        <f t="shared" si="49"/>
        <v>81266</v>
      </c>
      <c r="N216" s="285">
        <f t="shared" si="49"/>
        <v>99474</v>
      </c>
      <c r="O216" s="285">
        <f>SUM(C216:N216)</f>
        <v>1046703</v>
      </c>
      <c r="P216" s="286">
        <f>O216/12</f>
        <v>87225.25</v>
      </c>
      <c r="Q216" s="222"/>
      <c r="R216" s="222"/>
      <c r="S216" s="222"/>
      <c r="T216" s="222"/>
    </row>
    <row r="217" spans="1:20" ht="10.15" customHeight="1">
      <c r="A217" s="239"/>
      <c r="B217" s="240"/>
      <c r="C217" s="240"/>
      <c r="D217" s="240"/>
      <c r="E217" s="240"/>
      <c r="F217" s="240"/>
      <c r="G217" s="240"/>
      <c r="H217" s="240"/>
      <c r="I217" s="240"/>
      <c r="J217" s="240"/>
      <c r="K217" s="240"/>
      <c r="L217" s="240"/>
      <c r="M217" s="240"/>
      <c r="N217" s="240"/>
      <c r="O217" s="247"/>
      <c r="P217" s="248"/>
    </row>
    <row r="218" spans="1:20" ht="10.15" customHeight="1">
      <c r="A218" s="241"/>
      <c r="P218" s="250"/>
    </row>
    <row r="219" spans="1:20" ht="10.15" customHeight="1">
      <c r="A219" s="329" t="s">
        <v>0</v>
      </c>
      <c r="B219" s="330"/>
      <c r="C219" s="330"/>
      <c r="D219" s="330"/>
      <c r="E219" s="330"/>
      <c r="F219" s="330"/>
      <c r="G219" s="330"/>
      <c r="H219" s="330"/>
      <c r="I219" s="330"/>
      <c r="J219" s="330"/>
      <c r="K219" s="330"/>
      <c r="L219" s="330"/>
      <c r="M219" s="330"/>
      <c r="N219" s="330"/>
      <c r="O219" s="330"/>
      <c r="P219" s="331"/>
    </row>
    <row r="220" spans="1:20" ht="10.15" customHeight="1">
      <c r="A220" s="242"/>
      <c r="B220" s="222"/>
      <c r="C220" s="222"/>
      <c r="D220" s="222"/>
      <c r="E220" s="222"/>
      <c r="F220" s="222"/>
      <c r="G220" s="222"/>
      <c r="H220" s="222"/>
      <c r="I220" s="222"/>
      <c r="J220" s="222"/>
      <c r="K220" s="222"/>
      <c r="L220" s="222"/>
      <c r="M220" s="222"/>
      <c r="N220" s="222"/>
      <c r="O220" s="244"/>
      <c r="P220" s="251"/>
    </row>
    <row r="221" spans="1:20" ht="10.15" customHeight="1">
      <c r="A221" s="329" t="s">
        <v>51</v>
      </c>
      <c r="B221" s="330"/>
      <c r="C221" s="330"/>
      <c r="D221" s="330"/>
      <c r="E221" s="330"/>
      <c r="F221" s="330"/>
      <c r="G221" s="330"/>
      <c r="H221" s="330"/>
      <c r="I221" s="330"/>
      <c r="J221" s="330"/>
      <c r="K221" s="330"/>
      <c r="L221" s="330"/>
      <c r="M221" s="330"/>
      <c r="N221" s="330"/>
      <c r="O221" s="330"/>
      <c r="P221" s="331"/>
    </row>
    <row r="222" spans="1:20" ht="10.15" customHeight="1">
      <c r="A222" s="243"/>
      <c r="B222" s="244"/>
      <c r="C222" s="244"/>
      <c r="D222" s="244"/>
      <c r="E222" s="244"/>
      <c r="F222" s="244"/>
      <c r="G222" s="244"/>
      <c r="H222" s="244"/>
      <c r="I222" s="244"/>
      <c r="J222" s="244"/>
      <c r="K222" s="244"/>
      <c r="L222" s="244"/>
      <c r="M222" s="244"/>
      <c r="N222" s="244"/>
      <c r="O222" s="244"/>
      <c r="P222" s="251"/>
    </row>
    <row r="223" spans="1:20" ht="7.9" customHeight="1">
      <c r="A223" s="241"/>
      <c r="P223" s="250"/>
    </row>
    <row r="224" spans="1:20" ht="10.15" customHeight="1">
      <c r="A224" s="241"/>
      <c r="P224" s="250"/>
    </row>
    <row r="225" spans="1:17" ht="10.15" customHeight="1">
      <c r="A225" s="315"/>
      <c r="B225" s="316"/>
      <c r="C225" s="252">
        <v>43570</v>
      </c>
      <c r="D225" s="252">
        <v>43600</v>
      </c>
      <c r="E225" s="252">
        <v>43631</v>
      </c>
      <c r="F225" s="252">
        <v>43661</v>
      </c>
      <c r="G225" s="252">
        <v>43692</v>
      </c>
      <c r="H225" s="252">
        <v>43723</v>
      </c>
      <c r="I225" s="252">
        <v>43753</v>
      </c>
      <c r="J225" s="252">
        <v>43784</v>
      </c>
      <c r="K225" s="252">
        <v>43814</v>
      </c>
      <c r="L225" s="252">
        <v>43845</v>
      </c>
      <c r="M225" s="252">
        <v>43876</v>
      </c>
      <c r="N225" s="252">
        <v>43905</v>
      </c>
      <c r="O225" s="307" t="s">
        <v>2</v>
      </c>
      <c r="P225" s="253" t="s">
        <v>3</v>
      </c>
    </row>
    <row r="226" spans="1:17" ht="10.15" customHeight="1">
      <c r="A226" s="332"/>
      <c r="B226" s="333"/>
      <c r="C226" s="254"/>
      <c r="D226" s="254"/>
      <c r="E226" s="254"/>
      <c r="F226" s="254"/>
      <c r="G226" s="254"/>
      <c r="H226" s="254"/>
      <c r="I226" s="254"/>
      <c r="J226" s="254"/>
      <c r="K226" s="254"/>
      <c r="L226" s="254"/>
      <c r="M226" s="254"/>
      <c r="N226" s="254"/>
      <c r="O226" s="255"/>
      <c r="P226" s="256"/>
    </row>
    <row r="227" spans="1:17" s="310" customFormat="1" ht="10.15" customHeight="1">
      <c r="A227" s="317" t="s">
        <v>4</v>
      </c>
      <c r="B227" s="318"/>
      <c r="C227" s="282">
        <f t="shared" ref="C227:J227" si="50">C282/C286</f>
        <v>0.48795613692835288</v>
      </c>
      <c r="D227" s="282">
        <f t="shared" si="50"/>
        <v>0.52011714583849789</v>
      </c>
      <c r="E227" s="282">
        <f t="shared" si="50"/>
        <v>0.48826424582198608</v>
      </c>
      <c r="F227" s="282">
        <f t="shared" si="50"/>
        <v>0.47422336620851741</v>
      </c>
      <c r="G227" s="282">
        <f t="shared" si="50"/>
        <v>0.57598806740490205</v>
      </c>
      <c r="H227" s="282">
        <f t="shared" si="50"/>
        <v>0.50821612526743287</v>
      </c>
      <c r="I227" s="282">
        <f t="shared" si="50"/>
        <v>0.48478095797735743</v>
      </c>
      <c r="J227" s="282">
        <f t="shared" si="50"/>
        <v>0.47333232576547407</v>
      </c>
      <c r="K227" s="282">
        <f>K282/K286</f>
        <v>0.47658621651060945</v>
      </c>
      <c r="L227" s="282">
        <f>L282/L286</f>
        <v>0.50994665184443788</v>
      </c>
      <c r="M227" s="282">
        <f>M282/M286</f>
        <v>0.47489042989285168</v>
      </c>
      <c r="N227" s="282">
        <f>N282/N286</f>
        <v>0.4420183770441839</v>
      </c>
      <c r="O227" s="283">
        <f>AVERAGE(C227:N227)</f>
        <v>0.49302667054205029</v>
      </c>
      <c r="P227" s="284">
        <f>AVERAGE(C227:N227)</f>
        <v>0.49302667054205029</v>
      </c>
      <c r="Q227" s="313"/>
    </row>
    <row r="228" spans="1:17" s="310" customFormat="1" ht="10.15" customHeight="1">
      <c r="A228" s="317" t="s">
        <v>5</v>
      </c>
      <c r="B228" s="318"/>
      <c r="C228" s="282">
        <f t="shared" ref="C228:J228" si="51">C244/C230</f>
        <v>0.51204386307164718</v>
      </c>
      <c r="D228" s="282">
        <f t="shared" si="51"/>
        <v>0.47988285416150211</v>
      </c>
      <c r="E228" s="282">
        <f t="shared" si="51"/>
        <v>0.51173575417801398</v>
      </c>
      <c r="F228" s="282">
        <f t="shared" si="51"/>
        <v>0.52577663379148254</v>
      </c>
      <c r="G228" s="282">
        <f t="shared" si="51"/>
        <v>0.4240119325950979</v>
      </c>
      <c r="H228" s="282">
        <f t="shared" si="51"/>
        <v>0.49178387473256702</v>
      </c>
      <c r="I228" s="282">
        <f t="shared" si="51"/>
        <v>0.51521904202264257</v>
      </c>
      <c r="J228" s="282">
        <f t="shared" si="51"/>
        <v>0.52666767423452587</v>
      </c>
      <c r="K228" s="282">
        <f>K244/K230</f>
        <v>0.5234137834893906</v>
      </c>
      <c r="L228" s="282">
        <f>L244/L230</f>
        <v>0.49005334815556223</v>
      </c>
      <c r="M228" s="282">
        <f>M244/M230</f>
        <v>0.52510957010714832</v>
      </c>
      <c r="N228" s="282">
        <f>N244/N230</f>
        <v>0.55798162295581621</v>
      </c>
      <c r="O228" s="283">
        <f>AVERAGE(C228:N228)</f>
        <v>0.50697332945794982</v>
      </c>
      <c r="P228" s="284">
        <f>AVERAGE(D228:O228)</f>
        <v>0.50655078499014161</v>
      </c>
    </row>
    <row r="229" spans="1:17" ht="10.15" customHeight="1">
      <c r="A229" s="306"/>
      <c r="B229" s="307"/>
      <c r="C229" s="255"/>
      <c r="D229" s="255"/>
      <c r="E229" s="255"/>
      <c r="F229" s="255"/>
      <c r="G229" s="255"/>
      <c r="H229" s="255"/>
      <c r="I229" s="255"/>
      <c r="J229" s="255"/>
      <c r="K229" s="255"/>
      <c r="L229" s="255"/>
      <c r="M229" s="255"/>
      <c r="N229" s="255"/>
      <c r="O229" s="255"/>
      <c r="P229" s="256"/>
    </row>
    <row r="230" spans="1:17" s="314" customFormat="1" ht="10.15" customHeight="1">
      <c r="A230" s="317" t="s">
        <v>6</v>
      </c>
      <c r="B230" s="318"/>
      <c r="C230" s="285">
        <f t="shared" ref="C230:N230" si="52">C286</f>
        <v>97394</v>
      </c>
      <c r="D230" s="285">
        <f t="shared" si="52"/>
        <v>86729.5</v>
      </c>
      <c r="E230" s="285">
        <f t="shared" si="52"/>
        <v>88971.7</v>
      </c>
      <c r="F230" s="285">
        <f t="shared" si="52"/>
        <v>100156.6</v>
      </c>
      <c r="G230" s="285">
        <f t="shared" si="52"/>
        <v>86955.1</v>
      </c>
      <c r="H230" s="285">
        <f t="shared" si="52"/>
        <v>78571.100000000006</v>
      </c>
      <c r="I230" s="285">
        <f t="shared" si="52"/>
        <v>104829.2</v>
      </c>
      <c r="J230" s="285">
        <f t="shared" si="52"/>
        <v>78075.8</v>
      </c>
      <c r="K230" s="285">
        <f t="shared" si="52"/>
        <v>115491.8</v>
      </c>
      <c r="L230" s="285">
        <f t="shared" si="52"/>
        <v>101109.4</v>
      </c>
      <c r="M230" s="285">
        <f t="shared" si="52"/>
        <v>84649</v>
      </c>
      <c r="N230" s="285">
        <f t="shared" si="52"/>
        <v>80056.399999999994</v>
      </c>
      <c r="O230" s="285">
        <f>SUM(C230:N230)</f>
        <v>1102989.6000000001</v>
      </c>
      <c r="P230" s="286">
        <f>O230/12</f>
        <v>91915.8</v>
      </c>
    </row>
    <row r="231" spans="1:17" ht="10.15" customHeight="1">
      <c r="A231" s="317"/>
      <c r="B231" s="318"/>
      <c r="C231" s="255"/>
      <c r="D231" s="255"/>
      <c r="E231" s="255"/>
      <c r="F231" s="255"/>
      <c r="G231" s="255"/>
      <c r="H231" s="255"/>
      <c r="I231" s="255"/>
      <c r="J231" s="255"/>
      <c r="K231" s="255"/>
      <c r="L231" s="255"/>
      <c r="M231" s="255"/>
      <c r="N231" s="255"/>
      <c r="O231" s="255"/>
      <c r="P231" s="256"/>
    </row>
    <row r="232" spans="1:17" ht="10.15" customHeight="1">
      <c r="A232" s="327" t="s">
        <v>7</v>
      </c>
      <c r="B232" s="328"/>
      <c r="C232" s="252"/>
      <c r="D232" s="252"/>
      <c r="E232" s="252"/>
      <c r="F232" s="252"/>
      <c r="G232" s="252"/>
      <c r="H232" s="252"/>
      <c r="I232" s="252"/>
      <c r="J232" s="252"/>
      <c r="K232" s="252"/>
      <c r="L232" s="252"/>
      <c r="M232" s="252"/>
      <c r="N232" s="252"/>
      <c r="O232" s="285"/>
      <c r="P232" s="286"/>
    </row>
    <row r="233" spans="1:17" ht="10.15" customHeight="1">
      <c r="A233" s="315"/>
      <c r="B233" s="316"/>
      <c r="C233" s="255"/>
      <c r="D233" s="255"/>
      <c r="E233" s="255"/>
      <c r="F233" s="255"/>
      <c r="G233" s="255"/>
      <c r="H233" s="255"/>
      <c r="I233" s="255"/>
      <c r="J233" s="255"/>
      <c r="K233" s="255"/>
      <c r="L233" s="255"/>
      <c r="M233" s="255"/>
      <c r="N233" s="255"/>
      <c r="O233" s="255"/>
      <c r="P233" s="256"/>
    </row>
    <row r="234" spans="1:17" s="310" customFormat="1" ht="10.15" customHeight="1">
      <c r="A234" s="323" t="s">
        <v>8</v>
      </c>
      <c r="B234" s="324"/>
      <c r="C234" s="255"/>
      <c r="D234" s="255"/>
      <c r="E234" s="255"/>
      <c r="F234" s="255"/>
      <c r="G234" s="255"/>
      <c r="H234" s="255"/>
      <c r="I234" s="255"/>
      <c r="J234" s="255"/>
      <c r="K234" s="255"/>
      <c r="L234" s="255"/>
      <c r="M234" s="255"/>
      <c r="N234" s="255"/>
      <c r="O234" s="255"/>
      <c r="P234" s="256"/>
    </row>
    <row r="235" spans="1:17" s="310" customFormat="1" ht="10.15" customHeight="1">
      <c r="A235" s="323" t="s">
        <v>9</v>
      </c>
      <c r="B235" s="324"/>
      <c r="C235" s="287">
        <v>45250</v>
      </c>
      <c r="D235" s="287">
        <v>36500</v>
      </c>
      <c r="E235" s="287">
        <v>39970</v>
      </c>
      <c r="F235" s="287">
        <v>44750</v>
      </c>
      <c r="G235" s="287">
        <v>32750</v>
      </c>
      <c r="H235" s="287">
        <v>33500</v>
      </c>
      <c r="I235" s="287">
        <v>47170</v>
      </c>
      <c r="J235" s="287">
        <v>37000</v>
      </c>
      <c r="K235" s="287">
        <v>55030</v>
      </c>
      <c r="L235" s="287">
        <v>42940</v>
      </c>
      <c r="M235" s="287">
        <v>39500</v>
      </c>
      <c r="N235" s="287">
        <v>40670</v>
      </c>
      <c r="O235" s="287">
        <f>SUM(C235:N235)</f>
        <v>495030</v>
      </c>
      <c r="P235" s="288">
        <f>O235/12</f>
        <v>41252.5</v>
      </c>
    </row>
    <row r="236" spans="1:17" ht="10.15" customHeight="1">
      <c r="A236" s="323"/>
      <c r="B236" s="324"/>
      <c r="C236" s="287"/>
      <c r="D236" s="287"/>
      <c r="E236" s="287"/>
      <c r="F236" s="287"/>
      <c r="G236" s="287"/>
      <c r="H236" s="287"/>
      <c r="I236" s="287"/>
      <c r="J236" s="287"/>
      <c r="K236" s="287"/>
      <c r="L236" s="287"/>
      <c r="M236" s="287"/>
      <c r="N236" s="287"/>
      <c r="O236" s="287"/>
      <c r="P236" s="288"/>
    </row>
    <row r="237" spans="1:17" s="310" customFormat="1" ht="10.15" customHeight="1">
      <c r="A237" s="323" t="s">
        <v>10</v>
      </c>
      <c r="B237" s="324"/>
      <c r="C237" s="287"/>
      <c r="D237" s="287"/>
      <c r="E237" s="287"/>
      <c r="F237" s="287"/>
      <c r="G237" s="287"/>
      <c r="H237" s="287"/>
      <c r="I237" s="287"/>
      <c r="J237" s="287"/>
      <c r="K237" s="287"/>
      <c r="L237" s="287"/>
      <c r="M237" s="287"/>
      <c r="N237" s="287"/>
      <c r="O237" s="287"/>
      <c r="P237" s="288"/>
    </row>
    <row r="238" spans="1:17" s="310" customFormat="1" ht="10.15" customHeight="1">
      <c r="A238" s="323" t="s">
        <v>11</v>
      </c>
      <c r="B238" s="324"/>
      <c r="C238" s="289">
        <v>4620</v>
      </c>
      <c r="D238" s="289">
        <v>5120</v>
      </c>
      <c r="E238" s="289">
        <v>5560</v>
      </c>
      <c r="F238" s="289">
        <v>6970</v>
      </c>
      <c r="G238" s="289">
        <v>4120</v>
      </c>
      <c r="H238" s="289">
        <v>5140</v>
      </c>
      <c r="I238" s="289">
        <v>6840</v>
      </c>
      <c r="J238" s="289">
        <v>4120</v>
      </c>
      <c r="K238" s="289">
        <v>5420</v>
      </c>
      <c r="L238" s="289">
        <v>6609</v>
      </c>
      <c r="M238" s="289">
        <v>4950</v>
      </c>
      <c r="N238" s="289">
        <v>4000</v>
      </c>
      <c r="O238" s="287">
        <f>SUM(C238:N238)</f>
        <v>63469</v>
      </c>
      <c r="P238" s="288">
        <f>O238/12</f>
        <v>5289.083333333333</v>
      </c>
    </row>
    <row r="239" spans="1:17" s="310" customFormat="1" ht="10.15" customHeight="1">
      <c r="A239" s="323" t="s">
        <v>12</v>
      </c>
      <c r="B239" s="324"/>
      <c r="C239" s="289">
        <v>0</v>
      </c>
      <c r="D239" s="289">
        <v>0</v>
      </c>
      <c r="E239" s="289">
        <v>0</v>
      </c>
      <c r="F239" s="289">
        <v>0</v>
      </c>
      <c r="G239" s="289">
        <v>0</v>
      </c>
      <c r="H239" s="289">
        <v>0</v>
      </c>
      <c r="I239" s="289">
        <v>0</v>
      </c>
      <c r="J239" s="289">
        <v>0</v>
      </c>
      <c r="K239" s="289">
        <v>0</v>
      </c>
      <c r="L239" s="289">
        <v>0</v>
      </c>
      <c r="M239" s="289">
        <v>0</v>
      </c>
      <c r="N239" s="289">
        <v>0</v>
      </c>
      <c r="O239" s="287">
        <f>SUM(C239:N239)</f>
        <v>0</v>
      </c>
      <c r="P239" s="288">
        <f>O239/12</f>
        <v>0</v>
      </c>
    </row>
    <row r="240" spans="1:17" s="310" customFormat="1" ht="10.15" customHeight="1">
      <c r="A240" s="323" t="s">
        <v>13</v>
      </c>
      <c r="B240" s="324"/>
      <c r="C240" s="289">
        <v>0</v>
      </c>
      <c r="D240" s="289">
        <v>0</v>
      </c>
      <c r="E240" s="289">
        <v>0</v>
      </c>
      <c r="F240" s="289">
        <v>940</v>
      </c>
      <c r="G240" s="289">
        <v>0</v>
      </c>
      <c r="H240" s="289">
        <v>0</v>
      </c>
      <c r="I240" s="289">
        <v>0</v>
      </c>
      <c r="J240" s="289">
        <v>0</v>
      </c>
      <c r="K240" s="289">
        <v>0</v>
      </c>
      <c r="L240" s="289">
        <v>0</v>
      </c>
      <c r="M240" s="289">
        <v>0</v>
      </c>
      <c r="N240" s="289">
        <v>0</v>
      </c>
      <c r="O240" s="287">
        <f>SUM(C240:N240)</f>
        <v>940</v>
      </c>
      <c r="P240" s="288">
        <f>O240/12</f>
        <v>78.333333333333329</v>
      </c>
    </row>
    <row r="241" spans="1:20" s="310" customFormat="1" ht="10.15" customHeight="1">
      <c r="A241" s="323" t="s">
        <v>14</v>
      </c>
      <c r="B241" s="324"/>
      <c r="C241" s="289">
        <v>0</v>
      </c>
      <c r="D241" s="289">
        <v>0</v>
      </c>
      <c r="E241" s="289">
        <v>0</v>
      </c>
      <c r="F241" s="289">
        <v>0</v>
      </c>
      <c r="G241" s="289">
        <v>0</v>
      </c>
      <c r="H241" s="289">
        <v>0</v>
      </c>
      <c r="I241" s="289">
        <v>0</v>
      </c>
      <c r="J241" s="289">
        <v>0</v>
      </c>
      <c r="K241" s="289">
        <v>0</v>
      </c>
      <c r="L241" s="289">
        <v>0</v>
      </c>
      <c r="M241" s="289">
        <v>0</v>
      </c>
      <c r="N241" s="289">
        <v>0</v>
      </c>
      <c r="O241" s="287">
        <f>SUM(C241:N241)</f>
        <v>0</v>
      </c>
      <c r="P241" s="288">
        <f>O241/12</f>
        <v>0</v>
      </c>
    </row>
    <row r="242" spans="1:20" s="310" customFormat="1" ht="10.15" customHeight="1">
      <c r="A242" s="323" t="s">
        <v>15</v>
      </c>
      <c r="B242" s="324"/>
      <c r="C242" s="290">
        <f t="shared" ref="C242:N242" si="53">SUM(C238:C241)</f>
        <v>4620</v>
      </c>
      <c r="D242" s="290">
        <f t="shared" si="53"/>
        <v>5120</v>
      </c>
      <c r="E242" s="290">
        <f t="shared" si="53"/>
        <v>5560</v>
      </c>
      <c r="F242" s="290">
        <f t="shared" si="53"/>
        <v>7910</v>
      </c>
      <c r="G242" s="290">
        <f t="shared" si="53"/>
        <v>4120</v>
      </c>
      <c r="H242" s="290">
        <f t="shared" si="53"/>
        <v>5140</v>
      </c>
      <c r="I242" s="290">
        <f t="shared" si="53"/>
        <v>6840</v>
      </c>
      <c r="J242" s="290">
        <f t="shared" si="53"/>
        <v>4120</v>
      </c>
      <c r="K242" s="290">
        <f t="shared" si="53"/>
        <v>5420</v>
      </c>
      <c r="L242" s="290">
        <f t="shared" si="53"/>
        <v>6609</v>
      </c>
      <c r="M242" s="290">
        <f t="shared" si="53"/>
        <v>4950</v>
      </c>
      <c r="N242" s="290">
        <f t="shared" si="53"/>
        <v>4000</v>
      </c>
      <c r="O242" s="290">
        <f>SUM(C242:N242)</f>
        <v>64409</v>
      </c>
      <c r="P242" s="291">
        <f>O242/12</f>
        <v>5367.416666666667</v>
      </c>
    </row>
    <row r="243" spans="1:20" ht="10.15" customHeight="1">
      <c r="A243" s="317"/>
      <c r="B243" s="318"/>
      <c r="C243" s="255"/>
      <c r="D243" s="255"/>
      <c r="E243" s="255"/>
      <c r="F243" s="255"/>
      <c r="G243" s="255"/>
      <c r="H243" s="255"/>
      <c r="I243" s="255"/>
      <c r="J243" s="255"/>
      <c r="K243" s="255"/>
      <c r="L243" s="255"/>
      <c r="M243" s="255"/>
      <c r="N243" s="255"/>
      <c r="O243" s="255"/>
      <c r="P243" s="256"/>
    </row>
    <row r="244" spans="1:20" ht="10.15" customHeight="1">
      <c r="A244" s="325" t="s">
        <v>16</v>
      </c>
      <c r="B244" s="326"/>
      <c r="C244" s="290">
        <f t="shared" ref="C244:N244" si="54">C235+C242</f>
        <v>49870</v>
      </c>
      <c r="D244" s="290">
        <f t="shared" si="54"/>
        <v>41620</v>
      </c>
      <c r="E244" s="290">
        <f t="shared" si="54"/>
        <v>45530</v>
      </c>
      <c r="F244" s="290">
        <f t="shared" si="54"/>
        <v>52660</v>
      </c>
      <c r="G244" s="290">
        <f t="shared" si="54"/>
        <v>36870</v>
      </c>
      <c r="H244" s="290">
        <f t="shared" si="54"/>
        <v>38640</v>
      </c>
      <c r="I244" s="290">
        <f t="shared" si="54"/>
        <v>54010</v>
      </c>
      <c r="J244" s="290">
        <f t="shared" si="54"/>
        <v>41120</v>
      </c>
      <c r="K244" s="290">
        <f t="shared" si="54"/>
        <v>60450</v>
      </c>
      <c r="L244" s="290">
        <f t="shared" si="54"/>
        <v>49549</v>
      </c>
      <c r="M244" s="290">
        <f t="shared" si="54"/>
        <v>44450</v>
      </c>
      <c r="N244" s="290">
        <f t="shared" si="54"/>
        <v>44670</v>
      </c>
      <c r="O244" s="290">
        <f>SUM(C244:N244)</f>
        <v>559439</v>
      </c>
      <c r="P244" s="291">
        <f>O244/12</f>
        <v>46619.916666666664</v>
      </c>
    </row>
    <row r="245" spans="1:20" ht="10.15" customHeight="1">
      <c r="A245" s="317"/>
      <c r="B245" s="318"/>
      <c r="C245" s="255"/>
      <c r="D245" s="255"/>
      <c r="E245" s="255"/>
      <c r="F245" s="255"/>
      <c r="G245" s="255"/>
      <c r="H245" s="255"/>
      <c r="I245" s="255"/>
      <c r="J245" s="255"/>
      <c r="K245" s="255"/>
      <c r="L245" s="255"/>
      <c r="M245" s="255"/>
      <c r="N245" s="255"/>
      <c r="O245" s="255"/>
      <c r="P245" s="256"/>
    </row>
    <row r="246" spans="1:20" ht="10.15" customHeight="1">
      <c r="A246" s="321" t="s">
        <v>17</v>
      </c>
      <c r="B246" s="322"/>
      <c r="C246" s="252"/>
      <c r="D246" s="252"/>
      <c r="E246" s="252"/>
      <c r="F246" s="252"/>
      <c r="G246" s="252"/>
      <c r="H246" s="252"/>
      <c r="I246" s="252"/>
      <c r="J246" s="252"/>
      <c r="K246" s="252"/>
      <c r="L246" s="252"/>
      <c r="M246" s="252"/>
      <c r="N246" s="252"/>
      <c r="O246" s="252"/>
      <c r="P246" s="292"/>
    </row>
    <row r="247" spans="1:20" ht="10.15" customHeight="1">
      <c r="A247" s="315"/>
      <c r="B247" s="316"/>
      <c r="C247" s="255"/>
      <c r="D247" s="255"/>
      <c r="E247" s="255"/>
      <c r="F247" s="255"/>
      <c r="G247" s="255"/>
      <c r="H247" s="255"/>
      <c r="I247" s="255"/>
      <c r="J247" s="255"/>
      <c r="K247" s="255"/>
      <c r="L247" s="255"/>
      <c r="M247" s="255"/>
      <c r="N247" s="255"/>
      <c r="O247" s="255"/>
      <c r="P247" s="256"/>
    </row>
    <row r="248" spans="1:20" ht="10.15" customHeight="1">
      <c r="A248" s="319" t="s">
        <v>18</v>
      </c>
      <c r="B248" s="245" t="s">
        <v>19</v>
      </c>
      <c r="C248" s="293">
        <v>1796</v>
      </c>
      <c r="D248" s="293">
        <v>1616</v>
      </c>
      <c r="E248" s="293">
        <v>1654</v>
      </c>
      <c r="F248" s="293">
        <v>1820</v>
      </c>
      <c r="G248" s="293">
        <v>2150</v>
      </c>
      <c r="H248" s="293">
        <v>2077</v>
      </c>
      <c r="I248" s="293">
        <v>2220</v>
      </c>
      <c r="J248" s="293">
        <v>2340</v>
      </c>
      <c r="K248" s="293">
        <v>2220</v>
      </c>
      <c r="L248" s="293">
        <v>1810</v>
      </c>
      <c r="M248" s="293">
        <v>1650</v>
      </c>
      <c r="N248" s="293">
        <v>2010</v>
      </c>
      <c r="O248" s="294">
        <f t="shared" ref="O248:O256" si="55">SUM(C248:N248)</f>
        <v>23363</v>
      </c>
      <c r="P248" s="295">
        <f t="shared" ref="P248:P256" si="56">O248/12</f>
        <v>1946.9166666666667</v>
      </c>
      <c r="Q248" s="222"/>
      <c r="R248" s="222"/>
      <c r="S248" s="222"/>
      <c r="T248" s="222"/>
    </row>
    <row r="249" spans="1:20" ht="10.15" customHeight="1">
      <c r="A249" s="319"/>
      <c r="B249" s="245" t="s">
        <v>20</v>
      </c>
      <c r="C249" s="293">
        <v>0</v>
      </c>
      <c r="D249" s="293">
        <v>0</v>
      </c>
      <c r="E249" s="293">
        <v>0</v>
      </c>
      <c r="F249" s="293">
        <v>0</v>
      </c>
      <c r="G249" s="293">
        <v>0</v>
      </c>
      <c r="H249" s="293">
        <v>0</v>
      </c>
      <c r="I249" s="293">
        <v>0</v>
      </c>
      <c r="J249" s="293">
        <v>0</v>
      </c>
      <c r="K249" s="293">
        <v>0</v>
      </c>
      <c r="L249" s="293">
        <v>0</v>
      </c>
      <c r="M249" s="293">
        <v>0</v>
      </c>
      <c r="N249" s="293">
        <v>0</v>
      </c>
      <c r="O249" s="294">
        <f t="shared" si="55"/>
        <v>0</v>
      </c>
      <c r="P249" s="295">
        <f t="shared" si="56"/>
        <v>0</v>
      </c>
      <c r="Q249" s="222"/>
      <c r="R249" s="222"/>
      <c r="S249" s="222"/>
      <c r="T249" s="222"/>
    </row>
    <row r="250" spans="1:20" ht="10.15" customHeight="1">
      <c r="A250" s="319"/>
      <c r="B250" s="245" t="s">
        <v>21</v>
      </c>
      <c r="C250" s="296">
        <v>303</v>
      </c>
      <c r="D250" s="296">
        <v>437</v>
      </c>
      <c r="E250" s="296">
        <v>765</v>
      </c>
      <c r="F250" s="296">
        <v>465</v>
      </c>
      <c r="G250" s="296">
        <v>449</v>
      </c>
      <c r="H250" s="296">
        <v>460</v>
      </c>
      <c r="I250" s="296">
        <v>753</v>
      </c>
      <c r="J250" s="296">
        <v>140</v>
      </c>
      <c r="K250" s="296">
        <v>198</v>
      </c>
      <c r="L250" s="296">
        <v>230</v>
      </c>
      <c r="M250" s="296">
        <v>200</v>
      </c>
      <c r="N250" s="296">
        <v>190</v>
      </c>
      <c r="O250" s="297">
        <f t="shared" si="55"/>
        <v>4590</v>
      </c>
      <c r="P250" s="298">
        <f t="shared" si="56"/>
        <v>382.5</v>
      </c>
      <c r="Q250" s="222"/>
      <c r="R250" s="222"/>
      <c r="S250" s="222"/>
      <c r="T250" s="222"/>
    </row>
    <row r="251" spans="1:20" ht="10.15" customHeight="1">
      <c r="A251" s="319"/>
      <c r="B251" s="245" t="s">
        <v>22</v>
      </c>
      <c r="C251" s="296">
        <v>2100</v>
      </c>
      <c r="D251" s="296">
        <v>0</v>
      </c>
      <c r="E251" s="296">
        <v>820</v>
      </c>
      <c r="F251" s="296">
        <v>1750</v>
      </c>
      <c r="G251" s="296">
        <v>0</v>
      </c>
      <c r="H251" s="296">
        <v>2230</v>
      </c>
      <c r="I251" s="296">
        <v>2130</v>
      </c>
      <c r="J251" s="296">
        <v>0</v>
      </c>
      <c r="K251" s="296">
        <v>2080</v>
      </c>
      <c r="L251" s="296">
        <v>1980</v>
      </c>
      <c r="M251" s="296">
        <v>1890</v>
      </c>
      <c r="N251" s="296">
        <v>1870</v>
      </c>
      <c r="O251" s="297">
        <f t="shared" si="55"/>
        <v>16850</v>
      </c>
      <c r="P251" s="298">
        <f t="shared" si="56"/>
        <v>1404.1666666666667</v>
      </c>
      <c r="Q251" s="222"/>
      <c r="R251" s="222"/>
      <c r="S251" s="222"/>
      <c r="T251" s="222"/>
    </row>
    <row r="252" spans="1:20" ht="10.15" customHeight="1">
      <c r="A252" s="319"/>
      <c r="B252" s="245" t="s">
        <v>23</v>
      </c>
      <c r="C252" s="296">
        <v>383</v>
      </c>
      <c r="D252" s="296">
        <v>2407</v>
      </c>
      <c r="E252" s="296">
        <v>1140</v>
      </c>
      <c r="F252" s="296">
        <v>380</v>
      </c>
      <c r="G252" s="296">
        <v>2181</v>
      </c>
      <c r="H252" s="296">
        <v>380</v>
      </c>
      <c r="I252" s="296">
        <v>439</v>
      </c>
      <c r="J252" s="296">
        <v>1910</v>
      </c>
      <c r="K252" s="296">
        <v>450</v>
      </c>
      <c r="L252" s="296">
        <v>1310</v>
      </c>
      <c r="M252" s="296">
        <v>390</v>
      </c>
      <c r="N252" s="296">
        <v>340</v>
      </c>
      <c r="O252" s="297">
        <f t="shared" si="55"/>
        <v>11710</v>
      </c>
      <c r="P252" s="298">
        <f t="shared" si="56"/>
        <v>975.83333333333337</v>
      </c>
      <c r="Q252" s="222"/>
      <c r="R252" s="222"/>
      <c r="S252" s="222"/>
      <c r="T252" s="222"/>
    </row>
    <row r="253" spans="1:20" ht="10.15" customHeight="1">
      <c r="A253" s="319"/>
      <c r="B253" s="245" t="s">
        <v>24</v>
      </c>
      <c r="C253" s="296">
        <v>58</v>
      </c>
      <c r="D253" s="296">
        <v>156</v>
      </c>
      <c r="E253" s="296">
        <v>43</v>
      </c>
      <c r="F253" s="296">
        <v>121</v>
      </c>
      <c r="G253" s="296">
        <v>155</v>
      </c>
      <c r="H253" s="296">
        <v>101</v>
      </c>
      <c r="I253" s="296">
        <v>188</v>
      </c>
      <c r="J253" s="296">
        <v>0</v>
      </c>
      <c r="K253" s="296">
        <v>0</v>
      </c>
      <c r="L253" s="296">
        <v>0</v>
      </c>
      <c r="M253" s="296">
        <v>0</v>
      </c>
      <c r="N253" s="296">
        <v>0</v>
      </c>
      <c r="O253" s="297">
        <f t="shared" si="55"/>
        <v>822</v>
      </c>
      <c r="P253" s="298">
        <f t="shared" si="56"/>
        <v>68.5</v>
      </c>
      <c r="Q253" s="222"/>
      <c r="R253" s="222"/>
      <c r="S253" s="222"/>
      <c r="T253" s="222"/>
    </row>
    <row r="254" spans="1:20" ht="10.15" customHeight="1">
      <c r="A254" s="319"/>
      <c r="B254" s="245" t="s">
        <v>25</v>
      </c>
      <c r="C254" s="296">
        <v>0</v>
      </c>
      <c r="D254" s="296">
        <v>0</v>
      </c>
      <c r="E254" s="296">
        <v>0</v>
      </c>
      <c r="F254" s="296">
        <v>0</v>
      </c>
      <c r="G254" s="296">
        <v>0</v>
      </c>
      <c r="H254" s="296">
        <v>0</v>
      </c>
      <c r="I254" s="296">
        <v>0</v>
      </c>
      <c r="J254" s="296">
        <v>0</v>
      </c>
      <c r="K254" s="296">
        <v>0</v>
      </c>
      <c r="L254" s="296">
        <v>0</v>
      </c>
      <c r="M254" s="296">
        <v>0</v>
      </c>
      <c r="N254" s="296">
        <v>0</v>
      </c>
      <c r="O254" s="297">
        <f t="shared" si="55"/>
        <v>0</v>
      </c>
      <c r="P254" s="298">
        <f t="shared" si="56"/>
        <v>0</v>
      </c>
      <c r="Q254" s="222"/>
      <c r="R254" s="222"/>
      <c r="S254" s="222"/>
      <c r="T254" s="222"/>
    </row>
    <row r="255" spans="1:20" ht="10.15" customHeight="1">
      <c r="A255" s="319"/>
      <c r="B255" s="245" t="s">
        <v>26</v>
      </c>
      <c r="C255" s="296">
        <v>35</v>
      </c>
      <c r="D255" s="296">
        <v>69</v>
      </c>
      <c r="E255" s="296">
        <v>20</v>
      </c>
      <c r="F255" s="296">
        <v>72</v>
      </c>
      <c r="G255" s="296">
        <v>68</v>
      </c>
      <c r="H255" s="296">
        <v>41</v>
      </c>
      <c r="I255" s="296">
        <v>81</v>
      </c>
      <c r="J255" s="296">
        <v>0</v>
      </c>
      <c r="K255" s="296">
        <v>0</v>
      </c>
      <c r="L255" s="296">
        <v>0</v>
      </c>
      <c r="M255" s="296">
        <v>0</v>
      </c>
      <c r="N255" s="296">
        <v>0</v>
      </c>
      <c r="O255" s="297">
        <f t="shared" si="55"/>
        <v>386</v>
      </c>
      <c r="P255" s="298">
        <f t="shared" si="56"/>
        <v>32.166666666666664</v>
      </c>
      <c r="Q255" s="222"/>
      <c r="R255" s="222"/>
      <c r="S255" s="222"/>
      <c r="T255" s="222"/>
    </row>
    <row r="256" spans="1:20" ht="10.15" customHeight="1">
      <c r="A256" s="319" t="s">
        <v>27</v>
      </c>
      <c r="B256" s="320"/>
      <c r="C256" s="297">
        <f t="shared" ref="C256:N256" si="57">SUM(C248:C255)</f>
        <v>4675</v>
      </c>
      <c r="D256" s="297">
        <f t="shared" si="57"/>
        <v>4685</v>
      </c>
      <c r="E256" s="297">
        <f t="shared" si="57"/>
        <v>4442</v>
      </c>
      <c r="F256" s="297">
        <f t="shared" si="57"/>
        <v>4608</v>
      </c>
      <c r="G256" s="297">
        <f t="shared" si="57"/>
        <v>5003</v>
      </c>
      <c r="H256" s="297">
        <f t="shared" si="57"/>
        <v>5289</v>
      </c>
      <c r="I256" s="297">
        <f t="shared" si="57"/>
        <v>5811</v>
      </c>
      <c r="J256" s="297">
        <f t="shared" si="57"/>
        <v>4390</v>
      </c>
      <c r="K256" s="297">
        <f t="shared" si="57"/>
        <v>4948</v>
      </c>
      <c r="L256" s="297">
        <f t="shared" si="57"/>
        <v>5330</v>
      </c>
      <c r="M256" s="297">
        <f t="shared" si="57"/>
        <v>4130</v>
      </c>
      <c r="N256" s="297">
        <f t="shared" si="57"/>
        <v>4410</v>
      </c>
      <c r="O256" s="297">
        <f t="shared" si="55"/>
        <v>57721</v>
      </c>
      <c r="P256" s="298">
        <f t="shared" si="56"/>
        <v>4810.083333333333</v>
      </c>
      <c r="Q256" s="222"/>
      <c r="R256" s="222"/>
      <c r="S256" s="222"/>
      <c r="T256" s="222"/>
    </row>
    <row r="257" spans="1:20" ht="10.15" customHeight="1">
      <c r="A257" s="308"/>
      <c r="B257" s="246"/>
      <c r="C257" s="297"/>
      <c r="D257" s="297"/>
      <c r="E257" s="297"/>
      <c r="F257" s="297"/>
      <c r="G257" s="297"/>
      <c r="H257" s="297"/>
      <c r="I257" s="297"/>
      <c r="J257" s="297"/>
      <c r="K257" s="297"/>
      <c r="L257" s="297"/>
      <c r="M257" s="297"/>
      <c r="N257" s="297"/>
      <c r="O257" s="297"/>
      <c r="P257" s="298"/>
      <c r="Q257" s="222"/>
      <c r="R257" s="222"/>
      <c r="S257" s="222"/>
      <c r="T257" s="222"/>
    </row>
    <row r="258" spans="1:20" ht="10.15" customHeight="1">
      <c r="A258" s="319" t="s">
        <v>28</v>
      </c>
      <c r="B258" s="245" t="s">
        <v>29</v>
      </c>
      <c r="C258" s="296">
        <v>2250</v>
      </c>
      <c r="D258" s="296">
        <v>1100</v>
      </c>
      <c r="E258" s="296">
        <v>1640</v>
      </c>
      <c r="F258" s="296">
        <v>1930</v>
      </c>
      <c r="G258" s="296">
        <v>2050</v>
      </c>
      <c r="H258" s="296">
        <v>1690</v>
      </c>
      <c r="I258" s="296">
        <v>2820</v>
      </c>
      <c r="J258" s="296">
        <v>3030</v>
      </c>
      <c r="K258" s="296">
        <v>1710</v>
      </c>
      <c r="L258" s="296">
        <v>1060</v>
      </c>
      <c r="M258" s="296">
        <v>0</v>
      </c>
      <c r="N258" s="296">
        <v>0</v>
      </c>
      <c r="O258" s="297">
        <f>SUM(C258:N258)</f>
        <v>19280</v>
      </c>
      <c r="P258" s="298">
        <f>O258/12</f>
        <v>1606.6666666666667</v>
      </c>
      <c r="Q258" s="222"/>
      <c r="R258" s="222"/>
      <c r="S258" s="222"/>
      <c r="T258" s="222"/>
    </row>
    <row r="259" spans="1:20" ht="10.15" customHeight="1">
      <c r="A259" s="319"/>
      <c r="B259" s="245" t="s">
        <v>30</v>
      </c>
      <c r="C259" s="296">
        <v>11420</v>
      </c>
      <c r="D259" s="296">
        <v>15840</v>
      </c>
      <c r="E259" s="296">
        <v>10230</v>
      </c>
      <c r="F259" s="296">
        <v>10127</v>
      </c>
      <c r="G259" s="296">
        <v>10466</v>
      </c>
      <c r="H259" s="296">
        <v>7478</v>
      </c>
      <c r="I259" s="296">
        <v>9987</v>
      </c>
      <c r="J259" s="296">
        <v>2502</v>
      </c>
      <c r="K259" s="296">
        <v>10079</v>
      </c>
      <c r="L259" s="296">
        <v>11377</v>
      </c>
      <c r="M259" s="296">
        <v>10411</v>
      </c>
      <c r="N259" s="296">
        <v>0</v>
      </c>
      <c r="O259" s="297">
        <f>SUM(C259:N259)</f>
        <v>109917</v>
      </c>
      <c r="P259" s="298">
        <f>O259/12</f>
        <v>9159.75</v>
      </c>
      <c r="Q259" s="222"/>
      <c r="R259" s="222"/>
      <c r="S259" s="222"/>
      <c r="T259" s="222"/>
    </row>
    <row r="260" spans="1:20" ht="10.15" customHeight="1">
      <c r="A260" s="319"/>
      <c r="B260" s="245" t="s">
        <v>31</v>
      </c>
      <c r="C260" s="296">
        <v>4780</v>
      </c>
      <c r="D260" s="296">
        <v>6220</v>
      </c>
      <c r="E260" s="296">
        <v>5940</v>
      </c>
      <c r="F260" s="296">
        <v>5720</v>
      </c>
      <c r="G260" s="296">
        <v>5200</v>
      </c>
      <c r="H260" s="296">
        <v>6460</v>
      </c>
      <c r="I260" s="296">
        <v>5500</v>
      </c>
      <c r="J260" s="296">
        <v>4680</v>
      </c>
      <c r="K260" s="296">
        <v>7640</v>
      </c>
      <c r="L260" s="296">
        <v>6400</v>
      </c>
      <c r="M260" s="296">
        <v>4780</v>
      </c>
      <c r="N260" s="296">
        <v>4860</v>
      </c>
      <c r="O260" s="297">
        <f>SUM(C260:N260)</f>
        <v>68180</v>
      </c>
      <c r="P260" s="298">
        <f>O260/12</f>
        <v>5681.666666666667</v>
      </c>
      <c r="Q260" s="222"/>
      <c r="R260" s="222"/>
      <c r="S260" s="222"/>
      <c r="T260" s="222"/>
    </row>
    <row r="261" spans="1:20" ht="10.15" customHeight="1">
      <c r="A261" s="319"/>
      <c r="B261" s="245" t="s">
        <v>32</v>
      </c>
      <c r="C261" s="296">
        <v>740</v>
      </c>
      <c r="D261" s="296">
        <v>840</v>
      </c>
      <c r="E261" s="296">
        <v>920</v>
      </c>
      <c r="F261" s="296">
        <v>800</v>
      </c>
      <c r="G261" s="296">
        <v>960</v>
      </c>
      <c r="H261" s="296">
        <v>840</v>
      </c>
      <c r="I261" s="296">
        <v>1120</v>
      </c>
      <c r="J261" s="296">
        <v>820</v>
      </c>
      <c r="K261" s="296">
        <v>1060</v>
      </c>
      <c r="L261" s="296">
        <v>1180</v>
      </c>
      <c r="M261" s="296">
        <v>740</v>
      </c>
      <c r="N261" s="296">
        <v>620</v>
      </c>
      <c r="O261" s="297">
        <f>SUM(C261:N261)</f>
        <v>10640</v>
      </c>
      <c r="P261" s="298">
        <f>O261/12</f>
        <v>886.66666666666663</v>
      </c>
      <c r="Q261" s="222"/>
      <c r="R261" s="222"/>
      <c r="S261" s="222"/>
      <c r="T261" s="222"/>
    </row>
    <row r="262" spans="1:20" ht="10.15" customHeight="1">
      <c r="A262" s="319" t="s">
        <v>27</v>
      </c>
      <c r="B262" s="320"/>
      <c r="C262" s="297">
        <f t="shared" ref="C262:N262" si="58">SUM(C258:C261)</f>
        <v>19190</v>
      </c>
      <c r="D262" s="297">
        <f t="shared" si="58"/>
        <v>24000</v>
      </c>
      <c r="E262" s="297">
        <f t="shared" si="58"/>
        <v>18730</v>
      </c>
      <c r="F262" s="297">
        <f t="shared" si="58"/>
        <v>18577</v>
      </c>
      <c r="G262" s="297">
        <f t="shared" si="58"/>
        <v>18676</v>
      </c>
      <c r="H262" s="297">
        <f t="shared" si="58"/>
        <v>16468</v>
      </c>
      <c r="I262" s="297">
        <f t="shared" si="58"/>
        <v>19427</v>
      </c>
      <c r="J262" s="297">
        <f t="shared" si="58"/>
        <v>11032</v>
      </c>
      <c r="K262" s="297">
        <f t="shared" si="58"/>
        <v>20489</v>
      </c>
      <c r="L262" s="297">
        <f t="shared" si="58"/>
        <v>20017</v>
      </c>
      <c r="M262" s="297">
        <f t="shared" si="58"/>
        <v>15931</v>
      </c>
      <c r="N262" s="297">
        <f t="shared" si="58"/>
        <v>5480</v>
      </c>
      <c r="O262" s="297">
        <f>SUM(C262:N262)</f>
        <v>208017</v>
      </c>
      <c r="P262" s="298">
        <f>O262/12</f>
        <v>17334.75</v>
      </c>
      <c r="Q262" s="222"/>
      <c r="R262" s="222"/>
      <c r="S262" s="222"/>
      <c r="T262" s="222"/>
    </row>
    <row r="263" spans="1:20" ht="10.15" customHeight="1">
      <c r="A263" s="308"/>
      <c r="B263" s="246"/>
      <c r="C263" s="297"/>
      <c r="D263" s="297"/>
      <c r="E263" s="297"/>
      <c r="F263" s="297"/>
      <c r="G263" s="297"/>
      <c r="H263" s="297"/>
      <c r="I263" s="297"/>
      <c r="J263" s="297"/>
      <c r="K263" s="297"/>
      <c r="L263" s="297"/>
      <c r="M263" s="297"/>
      <c r="N263" s="297"/>
      <c r="O263" s="297"/>
      <c r="P263" s="298"/>
      <c r="Q263" s="222"/>
      <c r="R263" s="222"/>
      <c r="S263" s="222"/>
      <c r="T263" s="222"/>
    </row>
    <row r="264" spans="1:20" ht="10.15" customHeight="1">
      <c r="A264" s="319" t="s">
        <v>33</v>
      </c>
      <c r="B264" s="245" t="s">
        <v>34</v>
      </c>
      <c r="C264" s="296">
        <v>0</v>
      </c>
      <c r="D264" s="296">
        <v>0</v>
      </c>
      <c r="E264" s="296">
        <v>0</v>
      </c>
      <c r="F264" s="296">
        <v>0</v>
      </c>
      <c r="G264" s="296">
        <v>0</v>
      </c>
      <c r="H264" s="296">
        <v>0</v>
      </c>
      <c r="I264" s="296">
        <v>0</v>
      </c>
      <c r="J264" s="296">
        <v>0</v>
      </c>
      <c r="K264" s="296">
        <v>0</v>
      </c>
      <c r="L264" s="296">
        <v>0</v>
      </c>
      <c r="M264" s="296">
        <v>0</v>
      </c>
      <c r="N264" s="296">
        <v>0</v>
      </c>
      <c r="O264" s="294">
        <f>SUM(C264:N264)</f>
        <v>0</v>
      </c>
      <c r="P264" s="295">
        <f>O264/12</f>
        <v>0</v>
      </c>
      <c r="Q264" s="222"/>
      <c r="R264" s="222"/>
      <c r="S264" s="222"/>
      <c r="T264" s="222"/>
    </row>
    <row r="265" spans="1:20" ht="10.15" customHeight="1">
      <c r="A265" s="319"/>
      <c r="B265" s="245" t="s">
        <v>35</v>
      </c>
      <c r="C265" s="296">
        <v>0</v>
      </c>
      <c r="D265" s="296">
        <v>0</v>
      </c>
      <c r="E265" s="296">
        <v>0</v>
      </c>
      <c r="F265" s="296">
        <v>0</v>
      </c>
      <c r="G265" s="296">
        <v>0</v>
      </c>
      <c r="H265" s="296">
        <v>0</v>
      </c>
      <c r="I265" s="296">
        <v>0</v>
      </c>
      <c r="J265" s="296">
        <v>0</v>
      </c>
      <c r="K265" s="296">
        <v>0</v>
      </c>
      <c r="L265" s="296">
        <v>0</v>
      </c>
      <c r="M265" s="296">
        <v>0</v>
      </c>
      <c r="N265" s="296">
        <v>0</v>
      </c>
      <c r="O265" s="294">
        <f>SUM(C265:N265)</f>
        <v>0</v>
      </c>
      <c r="P265" s="295">
        <f>O265/12</f>
        <v>0</v>
      </c>
      <c r="Q265" s="222"/>
      <c r="R265" s="222"/>
      <c r="S265" s="222"/>
      <c r="T265" s="222"/>
    </row>
    <row r="266" spans="1:20" ht="10.15" customHeight="1">
      <c r="A266" s="319" t="s">
        <v>27</v>
      </c>
      <c r="B266" s="320"/>
      <c r="C266" s="297">
        <f>SUM(C264:C265)</f>
        <v>0</v>
      </c>
      <c r="D266" s="297">
        <f t="shared" ref="D266:N266" si="59">SUM(D264:D265)</f>
        <v>0</v>
      </c>
      <c r="E266" s="297">
        <f t="shared" si="59"/>
        <v>0</v>
      </c>
      <c r="F266" s="297">
        <f t="shared" si="59"/>
        <v>0</v>
      </c>
      <c r="G266" s="297">
        <f t="shared" si="59"/>
        <v>0</v>
      </c>
      <c r="H266" s="297">
        <f t="shared" si="59"/>
        <v>0</v>
      </c>
      <c r="I266" s="297">
        <f t="shared" si="59"/>
        <v>0</v>
      </c>
      <c r="J266" s="297">
        <f t="shared" si="59"/>
        <v>0</v>
      </c>
      <c r="K266" s="297">
        <f t="shared" si="59"/>
        <v>0</v>
      </c>
      <c r="L266" s="297">
        <f t="shared" si="59"/>
        <v>0</v>
      </c>
      <c r="M266" s="297">
        <f t="shared" si="59"/>
        <v>0</v>
      </c>
      <c r="N266" s="297">
        <f t="shared" si="59"/>
        <v>0</v>
      </c>
      <c r="O266" s="294">
        <f>SUM(C266:N266)</f>
        <v>0</v>
      </c>
      <c r="P266" s="295">
        <f>O266/12</f>
        <v>0</v>
      </c>
      <c r="Q266" s="222"/>
      <c r="R266" s="222"/>
      <c r="S266" s="222"/>
      <c r="T266" s="222"/>
    </row>
    <row r="267" spans="1:20" ht="10.15" customHeight="1">
      <c r="A267" s="308"/>
      <c r="B267" s="246"/>
      <c r="C267" s="297"/>
      <c r="D267" s="297"/>
      <c r="E267" s="297"/>
      <c r="F267" s="297"/>
      <c r="G267" s="297"/>
      <c r="H267" s="297"/>
      <c r="I267" s="297"/>
      <c r="J267" s="297"/>
      <c r="K267" s="297"/>
      <c r="L267" s="297"/>
      <c r="M267" s="297"/>
      <c r="N267" s="297"/>
      <c r="O267" s="294"/>
      <c r="P267" s="295"/>
      <c r="Q267" s="222"/>
      <c r="R267" s="222"/>
      <c r="S267" s="222"/>
      <c r="T267" s="222"/>
    </row>
    <row r="268" spans="1:20" ht="10.15" customHeight="1">
      <c r="A268" s="319" t="s">
        <v>36</v>
      </c>
      <c r="B268" s="245" t="s">
        <v>37</v>
      </c>
      <c r="C268" s="296">
        <v>0</v>
      </c>
      <c r="D268" s="296">
        <v>0</v>
      </c>
      <c r="E268" s="296">
        <v>0</v>
      </c>
      <c r="F268" s="296">
        <v>0</v>
      </c>
      <c r="G268" s="296">
        <v>0</v>
      </c>
      <c r="H268" s="296">
        <v>0</v>
      </c>
      <c r="I268" s="296">
        <v>0</v>
      </c>
      <c r="J268" s="296">
        <v>0</v>
      </c>
      <c r="K268" s="296">
        <v>760</v>
      </c>
      <c r="L268" s="296">
        <v>0</v>
      </c>
      <c r="M268" s="296">
        <v>0</v>
      </c>
      <c r="N268" s="296">
        <v>0</v>
      </c>
      <c r="O268" s="294">
        <f>SUM(C268:N268)</f>
        <v>760</v>
      </c>
      <c r="P268" s="295">
        <f>O268/12</f>
        <v>63.333333333333336</v>
      </c>
      <c r="Q268" s="222"/>
      <c r="R268" s="222"/>
      <c r="S268" s="222"/>
      <c r="T268" s="222"/>
    </row>
    <row r="269" spans="1:20" ht="10.15" customHeight="1">
      <c r="A269" s="319"/>
      <c r="B269" s="245" t="s">
        <v>38</v>
      </c>
      <c r="C269" s="296">
        <v>1168</v>
      </c>
      <c r="D269" s="296">
        <v>1277</v>
      </c>
      <c r="E269" s="296">
        <v>1437.6</v>
      </c>
      <c r="F269" s="296">
        <v>776.6</v>
      </c>
      <c r="G269" s="296">
        <v>1089.8</v>
      </c>
      <c r="H269" s="296">
        <v>1200.5999999999999</v>
      </c>
      <c r="I269" s="296">
        <v>1949.7</v>
      </c>
      <c r="J269" s="296">
        <v>1649.8</v>
      </c>
      <c r="K269" s="296">
        <v>584.79999999999995</v>
      </c>
      <c r="L269" s="296">
        <f>1871.4+601</f>
        <v>2472.4</v>
      </c>
      <c r="M269" s="296">
        <f>370.4+483.6+230</f>
        <v>1084</v>
      </c>
      <c r="N269" s="296">
        <f>532.2+127.2</f>
        <v>659.40000000000009</v>
      </c>
      <c r="O269" s="294">
        <f>SUM(C269:N269)</f>
        <v>15349.699999999999</v>
      </c>
      <c r="P269" s="295">
        <f>O269/12</f>
        <v>1279.1416666666667</v>
      </c>
      <c r="Q269" s="222"/>
      <c r="R269" s="222"/>
      <c r="S269" s="222"/>
      <c r="T269" s="222"/>
    </row>
    <row r="270" spans="1:20" ht="10.15" customHeight="1">
      <c r="A270" s="319"/>
      <c r="B270" s="245" t="s">
        <v>39</v>
      </c>
      <c r="C270" s="296">
        <v>0</v>
      </c>
      <c r="D270" s="296">
        <v>0</v>
      </c>
      <c r="E270" s="296">
        <v>0</v>
      </c>
      <c r="F270" s="296">
        <v>0</v>
      </c>
      <c r="G270" s="296">
        <v>0</v>
      </c>
      <c r="H270" s="296">
        <v>0</v>
      </c>
      <c r="I270" s="296">
        <v>0</v>
      </c>
      <c r="J270" s="296">
        <v>0</v>
      </c>
      <c r="K270" s="296">
        <v>480</v>
      </c>
      <c r="L270" s="296">
        <v>0</v>
      </c>
      <c r="M270" s="296">
        <v>0</v>
      </c>
      <c r="N270" s="296">
        <v>0</v>
      </c>
      <c r="O270" s="294">
        <f>SUM(C270:N270)</f>
        <v>480</v>
      </c>
      <c r="P270" s="295">
        <f>O270/12</f>
        <v>40</v>
      </c>
      <c r="Q270" s="222"/>
      <c r="R270" s="222"/>
      <c r="S270" s="222"/>
      <c r="T270" s="222"/>
    </row>
    <row r="271" spans="1:20" ht="10.15" customHeight="1">
      <c r="A271" s="319" t="s">
        <v>27</v>
      </c>
      <c r="B271" s="320"/>
      <c r="C271" s="285">
        <f t="shared" ref="C271:N271" si="60">SUM(C268:C270)</f>
        <v>1168</v>
      </c>
      <c r="D271" s="285">
        <f t="shared" si="60"/>
        <v>1277</v>
      </c>
      <c r="E271" s="285">
        <f t="shared" si="60"/>
        <v>1437.6</v>
      </c>
      <c r="F271" s="285">
        <f t="shared" si="60"/>
        <v>776.6</v>
      </c>
      <c r="G271" s="285">
        <f t="shared" si="60"/>
        <v>1089.8</v>
      </c>
      <c r="H271" s="285">
        <f t="shared" si="60"/>
        <v>1200.5999999999999</v>
      </c>
      <c r="I271" s="285">
        <f t="shared" si="60"/>
        <v>1949.7</v>
      </c>
      <c r="J271" s="285">
        <f t="shared" si="60"/>
        <v>1649.8</v>
      </c>
      <c r="K271" s="285">
        <f t="shared" si="60"/>
        <v>1824.8</v>
      </c>
      <c r="L271" s="285">
        <f t="shared" si="60"/>
        <v>2472.4</v>
      </c>
      <c r="M271" s="285">
        <f t="shared" si="60"/>
        <v>1084</v>
      </c>
      <c r="N271" s="285">
        <f t="shared" si="60"/>
        <v>659.40000000000009</v>
      </c>
      <c r="O271" s="294">
        <f>SUM(C271:N271)</f>
        <v>16589.7</v>
      </c>
      <c r="P271" s="295">
        <f>O271/12</f>
        <v>1382.4750000000001</v>
      </c>
      <c r="Q271" s="222"/>
      <c r="R271" s="222"/>
      <c r="S271" s="222"/>
      <c r="T271" s="222"/>
    </row>
    <row r="272" spans="1:20" ht="10.15" customHeight="1">
      <c r="A272" s="308"/>
      <c r="B272" s="246"/>
      <c r="C272" s="297"/>
      <c r="D272" s="297"/>
      <c r="E272" s="297"/>
      <c r="F272" s="297"/>
      <c r="G272" s="297"/>
      <c r="H272" s="297"/>
      <c r="I272" s="297"/>
      <c r="J272" s="297"/>
      <c r="K272" s="297"/>
      <c r="L272" s="297"/>
      <c r="M272" s="297"/>
      <c r="N272" s="297"/>
      <c r="O272" s="294"/>
      <c r="P272" s="295"/>
      <c r="Q272" s="222"/>
      <c r="R272" s="222"/>
      <c r="S272" s="222"/>
      <c r="T272" s="222"/>
    </row>
    <row r="273" spans="1:20" ht="10.15" customHeight="1">
      <c r="A273" s="319" t="s">
        <v>13</v>
      </c>
      <c r="B273" s="245" t="s">
        <v>40</v>
      </c>
      <c r="C273" s="296">
        <v>221</v>
      </c>
      <c r="D273" s="296">
        <v>210</v>
      </c>
      <c r="E273" s="296">
        <v>1437.6</v>
      </c>
      <c r="F273" s="296">
        <v>0</v>
      </c>
      <c r="G273" s="296">
        <v>494.8</v>
      </c>
      <c r="H273" s="296">
        <v>219.5</v>
      </c>
      <c r="I273" s="296">
        <v>163.5</v>
      </c>
      <c r="J273" s="296">
        <v>0</v>
      </c>
      <c r="K273" s="296">
        <v>155</v>
      </c>
      <c r="L273" s="296">
        <v>162</v>
      </c>
      <c r="M273" s="296">
        <v>233</v>
      </c>
      <c r="N273" s="296">
        <v>0</v>
      </c>
      <c r="O273" s="297">
        <f>SUM(C273:N273)</f>
        <v>3296.4</v>
      </c>
      <c r="P273" s="298">
        <f>O273/12</f>
        <v>274.7</v>
      </c>
      <c r="Q273" s="222"/>
      <c r="R273" s="222"/>
      <c r="S273" s="222"/>
      <c r="T273" s="222"/>
    </row>
    <row r="274" spans="1:20" ht="10.15" customHeight="1">
      <c r="A274" s="319"/>
      <c r="B274" s="245" t="s">
        <v>41</v>
      </c>
      <c r="C274" s="296">
        <v>0</v>
      </c>
      <c r="D274" s="296">
        <v>97.5</v>
      </c>
      <c r="E274" s="296">
        <v>0</v>
      </c>
      <c r="F274" s="296">
        <v>0</v>
      </c>
      <c r="G274" s="296">
        <v>0</v>
      </c>
      <c r="H274" s="296">
        <v>0</v>
      </c>
      <c r="I274" s="296">
        <v>0</v>
      </c>
      <c r="J274" s="296">
        <v>0</v>
      </c>
      <c r="K274" s="296">
        <v>0</v>
      </c>
      <c r="L274" s="296">
        <v>0</v>
      </c>
      <c r="M274" s="296">
        <v>0</v>
      </c>
      <c r="N274" s="296">
        <v>0</v>
      </c>
      <c r="O274" s="297">
        <f t="shared" ref="O274" si="61">SUM(C274:N274)</f>
        <v>97.5</v>
      </c>
      <c r="P274" s="298">
        <f>O274/12</f>
        <v>8.125</v>
      </c>
      <c r="Q274" s="222"/>
      <c r="R274" s="222"/>
      <c r="S274" s="222"/>
      <c r="T274" s="222"/>
    </row>
    <row r="275" spans="1:20" ht="10.15" customHeight="1">
      <c r="A275" s="319"/>
      <c r="B275" s="245" t="s">
        <v>42</v>
      </c>
      <c r="C275" s="296">
        <v>260</v>
      </c>
      <c r="D275" s="296">
        <v>440</v>
      </c>
      <c r="E275" s="296">
        <v>300</v>
      </c>
      <c r="F275" s="296">
        <v>250</v>
      </c>
      <c r="G275" s="296">
        <v>470</v>
      </c>
      <c r="H275" s="296">
        <v>470</v>
      </c>
      <c r="I275" s="296">
        <v>410</v>
      </c>
      <c r="J275" s="296">
        <v>360</v>
      </c>
      <c r="K275" s="296">
        <v>330</v>
      </c>
      <c r="L275" s="296">
        <v>370</v>
      </c>
      <c r="M275" s="296">
        <v>370</v>
      </c>
      <c r="N275" s="296">
        <f>330+90</f>
        <v>420</v>
      </c>
      <c r="O275" s="297">
        <f t="shared" ref="O275:O280" si="62">SUM(C275:N275)</f>
        <v>4450</v>
      </c>
      <c r="P275" s="298">
        <f>O275/12</f>
        <v>370.83333333333331</v>
      </c>
      <c r="Q275" s="222"/>
      <c r="R275" s="222"/>
      <c r="S275" s="222"/>
      <c r="T275" s="222"/>
    </row>
    <row r="276" spans="1:20" ht="10.15" customHeight="1">
      <c r="A276" s="319"/>
      <c r="B276" s="245" t="s">
        <v>43</v>
      </c>
      <c r="C276" s="296">
        <v>5360</v>
      </c>
      <c r="D276" s="296">
        <v>5449</v>
      </c>
      <c r="E276" s="296">
        <v>4556</v>
      </c>
      <c r="F276" s="296">
        <v>9650</v>
      </c>
      <c r="G276" s="296">
        <v>6620</v>
      </c>
      <c r="H276" s="296">
        <v>3959</v>
      </c>
      <c r="I276" s="296">
        <v>7554</v>
      </c>
      <c r="J276" s="296">
        <v>4303</v>
      </c>
      <c r="K276" s="296">
        <v>7488</v>
      </c>
      <c r="L276" s="296">
        <v>4772</v>
      </c>
      <c r="M276" s="296">
        <v>3456</v>
      </c>
      <c r="N276" s="296">
        <v>5232</v>
      </c>
      <c r="O276" s="297">
        <f t="shared" si="62"/>
        <v>68399</v>
      </c>
      <c r="P276" s="298">
        <f>O276/12</f>
        <v>5699.916666666667</v>
      </c>
      <c r="Q276" s="222"/>
      <c r="R276" s="222"/>
      <c r="S276" s="222"/>
      <c r="T276" s="222"/>
    </row>
    <row r="277" spans="1:20" ht="10.15" customHeight="1">
      <c r="A277" s="319"/>
      <c r="B277" s="245" t="s">
        <v>44</v>
      </c>
      <c r="C277" s="296">
        <v>0</v>
      </c>
      <c r="D277" s="296">
        <v>0</v>
      </c>
      <c r="E277" s="296">
        <v>0</v>
      </c>
      <c r="F277" s="296">
        <v>0</v>
      </c>
      <c r="G277" s="296">
        <v>0</v>
      </c>
      <c r="H277" s="296">
        <v>0</v>
      </c>
      <c r="I277" s="296">
        <v>0</v>
      </c>
      <c r="J277" s="296">
        <v>0</v>
      </c>
      <c r="K277" s="296">
        <v>0</v>
      </c>
      <c r="L277" s="296">
        <v>0</v>
      </c>
      <c r="M277" s="296">
        <v>0</v>
      </c>
      <c r="N277" s="296">
        <v>0</v>
      </c>
      <c r="O277" s="297">
        <f t="shared" si="62"/>
        <v>0</v>
      </c>
      <c r="P277" s="298">
        <f t="shared" ref="P277:P278" si="63">O277/12</f>
        <v>0</v>
      </c>
      <c r="Q277" s="222"/>
      <c r="R277" s="222"/>
      <c r="S277" s="222"/>
      <c r="T277" s="222"/>
    </row>
    <row r="278" spans="1:20" ht="10.15" customHeight="1">
      <c r="A278" s="319"/>
      <c r="B278" s="245" t="s">
        <v>45</v>
      </c>
      <c r="C278" s="296">
        <v>0</v>
      </c>
      <c r="D278" s="296">
        <v>0</v>
      </c>
      <c r="E278" s="296">
        <v>0</v>
      </c>
      <c r="F278" s="296">
        <v>0</v>
      </c>
      <c r="G278" s="296">
        <v>0</v>
      </c>
      <c r="H278" s="296">
        <v>0</v>
      </c>
      <c r="I278" s="296">
        <v>0</v>
      </c>
      <c r="J278" s="296">
        <v>0</v>
      </c>
      <c r="K278" s="296">
        <v>0</v>
      </c>
      <c r="L278" s="296">
        <v>0</v>
      </c>
      <c r="M278" s="296">
        <v>0</v>
      </c>
      <c r="N278" s="296">
        <v>0</v>
      </c>
      <c r="O278" s="297">
        <f t="shared" si="62"/>
        <v>0</v>
      </c>
      <c r="P278" s="298">
        <f t="shared" si="63"/>
        <v>0</v>
      </c>
      <c r="Q278" s="222"/>
      <c r="R278" s="222"/>
      <c r="S278" s="222"/>
      <c r="T278" s="222"/>
    </row>
    <row r="279" spans="1:20" ht="10.15" customHeight="1">
      <c r="A279" s="319"/>
      <c r="B279" s="245" t="s">
        <v>46</v>
      </c>
      <c r="C279" s="296">
        <v>16650</v>
      </c>
      <c r="D279" s="296">
        <v>8951</v>
      </c>
      <c r="E279" s="296">
        <v>12538.5</v>
      </c>
      <c r="F279" s="296">
        <v>13635</v>
      </c>
      <c r="G279" s="296">
        <v>17731.5</v>
      </c>
      <c r="H279" s="296">
        <v>12325</v>
      </c>
      <c r="I279" s="296">
        <v>15504</v>
      </c>
      <c r="J279" s="296">
        <v>15221</v>
      </c>
      <c r="K279" s="296">
        <v>19807</v>
      </c>
      <c r="L279" s="296">
        <v>18437</v>
      </c>
      <c r="M279" s="296">
        <v>14995</v>
      </c>
      <c r="N279" s="296">
        <v>19185</v>
      </c>
      <c r="O279" s="297">
        <f t="shared" si="62"/>
        <v>184980</v>
      </c>
      <c r="P279" s="298">
        <f>O279/12</f>
        <v>15415</v>
      </c>
      <c r="Q279" s="222"/>
      <c r="R279" s="222"/>
      <c r="S279" s="222"/>
      <c r="T279" s="222"/>
    </row>
    <row r="280" spans="1:20" ht="10.15" customHeight="1">
      <c r="A280" s="319" t="s">
        <v>27</v>
      </c>
      <c r="B280" s="320"/>
      <c r="C280" s="285">
        <f t="shared" ref="C280:N280" si="64">SUM(C273:C279)</f>
        <v>22491</v>
      </c>
      <c r="D280" s="285">
        <f t="shared" si="64"/>
        <v>15147.5</v>
      </c>
      <c r="E280" s="285">
        <f t="shared" si="64"/>
        <v>18832.099999999999</v>
      </c>
      <c r="F280" s="285">
        <f t="shared" si="64"/>
        <v>23535</v>
      </c>
      <c r="G280" s="285">
        <f t="shared" si="64"/>
        <v>25316.3</v>
      </c>
      <c r="H280" s="285">
        <f t="shared" si="64"/>
        <v>16973.5</v>
      </c>
      <c r="I280" s="285">
        <f t="shared" si="64"/>
        <v>23631.5</v>
      </c>
      <c r="J280" s="285">
        <f t="shared" si="64"/>
        <v>19884</v>
      </c>
      <c r="K280" s="285">
        <f t="shared" si="64"/>
        <v>27780</v>
      </c>
      <c r="L280" s="285">
        <f t="shared" si="64"/>
        <v>23741</v>
      </c>
      <c r="M280" s="285">
        <f t="shared" si="64"/>
        <v>19054</v>
      </c>
      <c r="N280" s="285">
        <f t="shared" si="64"/>
        <v>24837</v>
      </c>
      <c r="O280" s="294">
        <f t="shared" si="62"/>
        <v>261222.90000000002</v>
      </c>
      <c r="P280" s="295">
        <f>O280/12</f>
        <v>21768.575000000001</v>
      </c>
      <c r="Q280" s="222"/>
      <c r="R280" s="222"/>
      <c r="S280" s="222"/>
      <c r="T280" s="222"/>
    </row>
    <row r="281" spans="1:20" ht="10.15" customHeight="1">
      <c r="A281" s="306"/>
      <c r="B281" s="307"/>
      <c r="C281" s="285"/>
      <c r="D281" s="299"/>
      <c r="E281" s="285"/>
      <c r="F281" s="285"/>
      <c r="G281" s="285"/>
      <c r="H281" s="285"/>
      <c r="I281" s="285"/>
      <c r="J281" s="285"/>
      <c r="K281" s="285"/>
      <c r="L281" s="285"/>
      <c r="M281" s="285"/>
      <c r="N281" s="285"/>
      <c r="O281" s="300"/>
      <c r="P281" s="301"/>
      <c r="Q281" s="222"/>
      <c r="R281" s="222"/>
      <c r="S281" s="222"/>
      <c r="T281" s="222"/>
    </row>
    <row r="282" spans="1:20" s="312" customFormat="1" ht="10.15" customHeight="1">
      <c r="A282" s="321" t="s">
        <v>47</v>
      </c>
      <c r="B282" s="322"/>
      <c r="C282" s="302">
        <f t="shared" ref="C282:N282" si="65">C280+C271+C266+C262+C256</f>
        <v>47524</v>
      </c>
      <c r="D282" s="302">
        <f t="shared" si="65"/>
        <v>45109.5</v>
      </c>
      <c r="E282" s="302">
        <f t="shared" si="65"/>
        <v>43441.7</v>
      </c>
      <c r="F282" s="302">
        <f t="shared" si="65"/>
        <v>47496.6</v>
      </c>
      <c r="G282" s="302">
        <f t="shared" si="65"/>
        <v>50085.1</v>
      </c>
      <c r="H282" s="302">
        <f t="shared" si="65"/>
        <v>39931.1</v>
      </c>
      <c r="I282" s="302">
        <f t="shared" si="65"/>
        <v>50819.199999999997</v>
      </c>
      <c r="J282" s="302">
        <f t="shared" si="65"/>
        <v>36955.800000000003</v>
      </c>
      <c r="K282" s="302">
        <f t="shared" si="65"/>
        <v>55041.8</v>
      </c>
      <c r="L282" s="302">
        <f t="shared" si="65"/>
        <v>51560.4</v>
      </c>
      <c r="M282" s="302">
        <f t="shared" si="65"/>
        <v>40199</v>
      </c>
      <c r="N282" s="302">
        <f t="shared" si="65"/>
        <v>35386.400000000001</v>
      </c>
      <c r="O282" s="302">
        <f>SUM(C282:N282)</f>
        <v>543550.6</v>
      </c>
      <c r="P282" s="303">
        <f>O282/12</f>
        <v>45295.883333333331</v>
      </c>
      <c r="Q282" s="222"/>
      <c r="R282" s="222"/>
      <c r="S282" s="222"/>
      <c r="T282" s="222"/>
    </row>
    <row r="283" spans="1:20" ht="10.15" customHeight="1">
      <c r="A283" s="317"/>
      <c r="B283" s="318"/>
      <c r="C283" s="285"/>
      <c r="D283" s="285"/>
      <c r="E283" s="285"/>
      <c r="F283" s="285"/>
      <c r="G283" s="285"/>
      <c r="H283" s="285"/>
      <c r="I283" s="285"/>
      <c r="J283" s="285"/>
      <c r="K283" s="285"/>
      <c r="L283" s="285"/>
      <c r="M283" s="285"/>
      <c r="N283" s="285"/>
      <c r="O283" s="285"/>
      <c r="P283" s="286"/>
      <c r="Q283" s="222"/>
      <c r="R283" s="222"/>
      <c r="S283" s="222"/>
      <c r="T283" s="222"/>
    </row>
    <row r="284" spans="1:20" ht="10.15" customHeight="1">
      <c r="A284" s="315" t="s">
        <v>48</v>
      </c>
      <c r="B284" s="316"/>
      <c r="C284" s="285"/>
      <c r="D284" s="285"/>
      <c r="E284" s="285"/>
      <c r="F284" s="285"/>
      <c r="G284" s="285"/>
      <c r="H284" s="285"/>
      <c r="I284" s="285"/>
      <c r="J284" s="285"/>
      <c r="K284" s="285"/>
      <c r="L284" s="285"/>
      <c r="M284" s="285"/>
      <c r="N284" s="285"/>
      <c r="O284" s="285"/>
      <c r="P284" s="286"/>
      <c r="Q284" s="222"/>
      <c r="R284" s="222"/>
      <c r="S284" s="222"/>
      <c r="T284" s="222"/>
    </row>
    <row r="285" spans="1:20" ht="10.15" customHeight="1">
      <c r="A285" s="317"/>
      <c r="B285" s="318"/>
      <c r="C285" s="285"/>
      <c r="D285" s="285"/>
      <c r="E285" s="285"/>
      <c r="F285" s="285"/>
      <c r="G285" s="285"/>
      <c r="H285" s="285"/>
      <c r="I285" s="285"/>
      <c r="J285" s="285"/>
      <c r="K285" s="285"/>
      <c r="L285" s="285"/>
      <c r="M285" s="285"/>
      <c r="N285" s="285"/>
      <c r="O285" s="285"/>
      <c r="P285" s="286"/>
      <c r="Q285" s="222"/>
      <c r="R285" s="222"/>
      <c r="S285" s="222"/>
      <c r="T285" s="222"/>
    </row>
    <row r="286" spans="1:20" ht="10.15" customHeight="1" thickBot="1">
      <c r="A286" s="315" t="s">
        <v>6</v>
      </c>
      <c r="B286" s="316"/>
      <c r="C286" s="285">
        <f t="shared" ref="C286:N286" si="66">C244+C282</f>
        <v>97394</v>
      </c>
      <c r="D286" s="285">
        <f t="shared" si="66"/>
        <v>86729.5</v>
      </c>
      <c r="E286" s="285">
        <f t="shared" si="66"/>
        <v>88971.7</v>
      </c>
      <c r="F286" s="285">
        <f t="shared" si="66"/>
        <v>100156.6</v>
      </c>
      <c r="G286" s="285">
        <f t="shared" si="66"/>
        <v>86955.1</v>
      </c>
      <c r="H286" s="285">
        <f t="shared" si="66"/>
        <v>78571.100000000006</v>
      </c>
      <c r="I286" s="285">
        <f t="shared" si="66"/>
        <v>104829.2</v>
      </c>
      <c r="J286" s="285">
        <f t="shared" si="66"/>
        <v>78075.8</v>
      </c>
      <c r="K286" s="285">
        <f t="shared" si="66"/>
        <v>115491.8</v>
      </c>
      <c r="L286" s="285">
        <f t="shared" si="66"/>
        <v>101109.4</v>
      </c>
      <c r="M286" s="285">
        <f t="shared" si="66"/>
        <v>84649</v>
      </c>
      <c r="N286" s="285">
        <f t="shared" si="66"/>
        <v>80056.399999999994</v>
      </c>
      <c r="O286" s="285">
        <f>SUM(C286:N286)</f>
        <v>1102989.6000000001</v>
      </c>
      <c r="P286" s="286">
        <f>O286/12</f>
        <v>91915.8</v>
      </c>
      <c r="Q286" s="222"/>
      <c r="R286" s="222"/>
      <c r="S286" s="222"/>
      <c r="T286" s="222"/>
    </row>
    <row r="287" spans="1:20" ht="7.9" customHeight="1">
      <c r="A287" s="239"/>
      <c r="B287" s="240"/>
      <c r="C287" s="240"/>
      <c r="D287" s="240"/>
      <c r="E287" s="240"/>
      <c r="F287" s="240"/>
      <c r="G287" s="240"/>
      <c r="H287" s="240"/>
      <c r="I287" s="240"/>
      <c r="J287" s="240"/>
      <c r="K287" s="240"/>
      <c r="L287" s="240"/>
      <c r="M287" s="240"/>
      <c r="N287" s="240"/>
      <c r="O287" s="247"/>
      <c r="P287" s="248"/>
    </row>
    <row r="288" spans="1:20" ht="7.9" customHeight="1">
      <c r="A288" s="241"/>
      <c r="P288" s="250"/>
    </row>
    <row r="289" spans="1:17" ht="7.9" customHeight="1">
      <c r="A289" s="241"/>
      <c r="P289" s="250"/>
    </row>
    <row r="290" spans="1:17" ht="7.9" customHeight="1">
      <c r="A290" s="329" t="s">
        <v>0</v>
      </c>
      <c r="B290" s="330"/>
      <c r="C290" s="330"/>
      <c r="D290" s="330"/>
      <c r="E290" s="330"/>
      <c r="F290" s="330"/>
      <c r="G290" s="330"/>
      <c r="H290" s="330"/>
      <c r="I290" s="330"/>
      <c r="J290" s="330"/>
      <c r="K290" s="330"/>
      <c r="L290" s="330"/>
      <c r="M290" s="330"/>
      <c r="N290" s="330"/>
      <c r="O290" s="330"/>
      <c r="P290" s="331"/>
    </row>
    <row r="291" spans="1:17" ht="7.9" customHeight="1">
      <c r="A291" s="242"/>
      <c r="B291" s="222"/>
      <c r="C291" s="222"/>
      <c r="D291" s="222"/>
      <c r="E291" s="222"/>
      <c r="F291" s="222"/>
      <c r="G291" s="222"/>
      <c r="H291" s="222"/>
      <c r="I291" s="222"/>
      <c r="J291" s="222"/>
      <c r="K291" s="222"/>
      <c r="L291" s="222"/>
      <c r="M291" s="222"/>
      <c r="N291" s="222"/>
      <c r="O291" s="244"/>
      <c r="P291" s="304"/>
    </row>
    <row r="292" spans="1:17" ht="7.9" customHeight="1">
      <c r="A292" s="329" t="s">
        <v>52</v>
      </c>
      <c r="B292" s="330"/>
      <c r="C292" s="330"/>
      <c r="D292" s="330"/>
      <c r="E292" s="330"/>
      <c r="F292" s="330"/>
      <c r="G292" s="330"/>
      <c r="H292" s="330"/>
      <c r="I292" s="330"/>
      <c r="J292" s="330"/>
      <c r="K292" s="330"/>
      <c r="L292" s="330"/>
      <c r="M292" s="330"/>
      <c r="N292" s="330"/>
      <c r="O292" s="330"/>
      <c r="P292" s="331"/>
    </row>
    <row r="293" spans="1:17" ht="7.9" customHeight="1">
      <c r="A293" s="243"/>
      <c r="B293" s="244"/>
      <c r="C293" s="244"/>
      <c r="D293" s="244"/>
      <c r="E293" s="244"/>
      <c r="F293" s="244"/>
      <c r="G293" s="244"/>
      <c r="H293" s="244"/>
      <c r="I293" s="244"/>
      <c r="J293" s="244"/>
      <c r="K293" s="244"/>
      <c r="L293" s="244"/>
      <c r="M293" s="244"/>
      <c r="N293" s="244"/>
      <c r="O293" s="244"/>
      <c r="P293" s="251"/>
    </row>
    <row r="294" spans="1:17" ht="7.9" customHeight="1">
      <c r="A294" s="241"/>
      <c r="P294" s="250"/>
    </row>
    <row r="295" spans="1:17" ht="7.9" customHeight="1">
      <c r="A295" s="241"/>
      <c r="P295" s="250"/>
    </row>
    <row r="296" spans="1:17" ht="7.9" customHeight="1">
      <c r="A296" s="241"/>
      <c r="P296" s="250"/>
    </row>
    <row r="297" spans="1:17" ht="10.15" customHeight="1">
      <c r="A297" s="315"/>
      <c r="B297" s="316"/>
      <c r="C297" s="252">
        <v>43936</v>
      </c>
      <c r="D297" s="252">
        <v>43966</v>
      </c>
      <c r="E297" s="252">
        <v>43997</v>
      </c>
      <c r="F297" s="252">
        <v>44027</v>
      </c>
      <c r="G297" s="252">
        <v>44058</v>
      </c>
      <c r="H297" s="252">
        <v>44089</v>
      </c>
      <c r="I297" s="252">
        <v>44119</v>
      </c>
      <c r="J297" s="252">
        <v>44150</v>
      </c>
      <c r="K297" s="252">
        <v>44180</v>
      </c>
      <c r="L297" s="252">
        <v>44211</v>
      </c>
      <c r="M297" s="252">
        <v>44242</v>
      </c>
      <c r="N297" s="252">
        <v>44270</v>
      </c>
      <c r="O297" s="307" t="s">
        <v>2</v>
      </c>
      <c r="P297" s="253" t="s">
        <v>3</v>
      </c>
    </row>
    <row r="298" spans="1:17" ht="10.15" customHeight="1">
      <c r="A298" s="332"/>
      <c r="B298" s="333"/>
      <c r="C298" s="254"/>
      <c r="D298" s="254"/>
      <c r="E298" s="254"/>
      <c r="F298" s="254"/>
      <c r="G298" s="254"/>
      <c r="H298" s="254"/>
      <c r="I298" s="254"/>
      <c r="J298" s="254"/>
      <c r="K298" s="254"/>
      <c r="L298" s="254"/>
      <c r="M298" s="254"/>
      <c r="N298" s="254"/>
      <c r="O298" s="255"/>
      <c r="P298" s="256"/>
    </row>
    <row r="299" spans="1:17" s="310" customFormat="1" ht="10.15" customHeight="1">
      <c r="A299" s="317" t="s">
        <v>4</v>
      </c>
      <c r="B299" s="318"/>
      <c r="C299" s="282">
        <f t="shared" ref="C299:J299" si="67">C354/C358</f>
        <v>0.44985853505187046</v>
      </c>
      <c r="D299" s="282">
        <f t="shared" si="67"/>
        <v>0.63439404197698035</v>
      </c>
      <c r="E299" s="282">
        <f t="shared" si="67"/>
        <v>0.38650306748466257</v>
      </c>
      <c r="F299" s="282">
        <f t="shared" si="67"/>
        <v>0.48824830071247238</v>
      </c>
      <c r="G299" s="282">
        <f t="shared" si="67"/>
        <v>0.55161228773134896</v>
      </c>
      <c r="H299" s="282">
        <f>H354/H358</f>
        <v>0.42027088922332001</v>
      </c>
      <c r="I299" s="282">
        <f t="shared" si="67"/>
        <v>0.53386634484839346</v>
      </c>
      <c r="J299" s="282">
        <f t="shared" si="67"/>
        <v>0.33828425096030729</v>
      </c>
      <c r="K299" s="282">
        <f>K354/K358</f>
        <v>0.57369977006460093</v>
      </c>
      <c r="L299" s="282">
        <f>L354/L358</f>
        <v>0.42639074906725344</v>
      </c>
      <c r="M299" s="282">
        <f>M354/M358</f>
        <v>0.48413721949961308</v>
      </c>
      <c r="N299" s="282">
        <f>N354/N358</f>
        <v>0.58276152642349821</v>
      </c>
      <c r="O299" s="283">
        <f>AVERAGE(C299:N299)</f>
        <v>0.48916891525369338</v>
      </c>
      <c r="P299" s="284">
        <f>AVERAGE(C299:N299)</f>
        <v>0.48916891525369338</v>
      </c>
      <c r="Q299" s="313"/>
    </row>
    <row r="300" spans="1:17" s="310" customFormat="1" ht="10.15" customHeight="1">
      <c r="A300" s="317" t="s">
        <v>5</v>
      </c>
      <c r="B300" s="318"/>
      <c r="C300" s="282">
        <f t="shared" ref="C300:J300" si="68">C316/C302</f>
        <v>0.55014146494812954</v>
      </c>
      <c r="D300" s="282">
        <f t="shared" si="68"/>
        <v>0.36560595802301965</v>
      </c>
      <c r="E300" s="282">
        <f t="shared" si="68"/>
        <v>0.61349693251533743</v>
      </c>
      <c r="F300" s="282">
        <f t="shared" si="68"/>
        <v>0.51175169928752762</v>
      </c>
      <c r="G300" s="282">
        <f t="shared" si="68"/>
        <v>0.44838771226865104</v>
      </c>
      <c r="H300" s="282">
        <f>H316/H302</f>
        <v>0.57972911077667999</v>
      </c>
      <c r="I300" s="282">
        <f t="shared" si="68"/>
        <v>0.4661336551516066</v>
      </c>
      <c r="J300" s="282">
        <f t="shared" si="68"/>
        <v>0.66171574903969266</v>
      </c>
      <c r="K300" s="282">
        <f>K316/K302</f>
        <v>0.42630022993539912</v>
      </c>
      <c r="L300" s="282">
        <f>L316/L302</f>
        <v>0.57360925093274662</v>
      </c>
      <c r="M300" s="282">
        <f>M316/M302</f>
        <v>0.51586278050038692</v>
      </c>
      <c r="N300" s="282">
        <f>N316/N302</f>
        <v>0.41723847357650173</v>
      </c>
      <c r="O300" s="283">
        <f>AVERAGE(C300:N300)</f>
        <v>0.51083108474630667</v>
      </c>
      <c r="P300" s="284">
        <f>AVERAGE(C300:N300)</f>
        <v>0.51083108474630667</v>
      </c>
    </row>
    <row r="301" spans="1:17" ht="10.15" customHeight="1">
      <c r="A301" s="306"/>
      <c r="B301" s="307"/>
      <c r="C301" s="255"/>
      <c r="D301" s="255"/>
      <c r="E301" s="255"/>
      <c r="F301" s="255"/>
      <c r="G301" s="255"/>
      <c r="H301" s="255"/>
      <c r="I301" s="255"/>
      <c r="J301" s="255"/>
      <c r="K301" s="255"/>
      <c r="L301" s="255"/>
      <c r="M301" s="255"/>
      <c r="N301" s="255"/>
      <c r="O301" s="255"/>
      <c r="P301" s="256"/>
    </row>
    <row r="302" spans="1:17" s="314" customFormat="1" ht="10.15" customHeight="1">
      <c r="A302" s="317" t="s">
        <v>6</v>
      </c>
      <c r="B302" s="318"/>
      <c r="C302" s="285">
        <f t="shared" ref="C302:N302" si="69">C358</f>
        <v>6362</v>
      </c>
      <c r="D302" s="285">
        <f t="shared" si="69"/>
        <v>1477</v>
      </c>
      <c r="E302" s="285">
        <f t="shared" si="69"/>
        <v>3260</v>
      </c>
      <c r="F302" s="285">
        <f t="shared" si="69"/>
        <v>12211</v>
      </c>
      <c r="G302" s="285">
        <f t="shared" si="69"/>
        <v>10482</v>
      </c>
      <c r="H302" s="285">
        <f t="shared" si="69"/>
        <v>15283</v>
      </c>
      <c r="I302" s="285">
        <f t="shared" si="69"/>
        <v>26516</v>
      </c>
      <c r="J302" s="285">
        <f t="shared" si="69"/>
        <v>19525</v>
      </c>
      <c r="K302" s="285">
        <f t="shared" si="69"/>
        <v>45665</v>
      </c>
      <c r="L302" s="285">
        <f t="shared" si="69"/>
        <v>33449.599999999999</v>
      </c>
      <c r="M302" s="285">
        <f t="shared" si="69"/>
        <v>27139</v>
      </c>
      <c r="N302" s="285">
        <f t="shared" si="69"/>
        <v>41535</v>
      </c>
      <c r="O302" s="285">
        <f>SUM(C302:N302)</f>
        <v>242904.6</v>
      </c>
      <c r="P302" s="286">
        <f>O302/12</f>
        <v>20242.05</v>
      </c>
    </row>
    <row r="303" spans="1:17" ht="10.15" customHeight="1">
      <c r="A303" s="317"/>
      <c r="B303" s="318"/>
      <c r="C303" s="255"/>
      <c r="D303" s="255"/>
      <c r="E303" s="255"/>
      <c r="F303" s="255"/>
      <c r="G303" s="255"/>
      <c r="H303" s="255"/>
      <c r="I303" s="255"/>
      <c r="J303" s="255"/>
      <c r="K303" s="255"/>
      <c r="L303" s="255"/>
      <c r="M303" s="255"/>
      <c r="N303" s="255"/>
      <c r="O303" s="255"/>
      <c r="P303" s="256"/>
    </row>
    <row r="304" spans="1:17" ht="10.15" customHeight="1">
      <c r="A304" s="327" t="s">
        <v>7</v>
      </c>
      <c r="B304" s="328"/>
      <c r="C304" s="252"/>
      <c r="D304" s="252"/>
      <c r="E304" s="252"/>
      <c r="F304" s="252"/>
      <c r="G304" s="252"/>
      <c r="H304" s="252"/>
      <c r="I304" s="252"/>
      <c r="J304" s="252"/>
      <c r="K304" s="252"/>
      <c r="L304" s="252"/>
      <c r="M304" s="252"/>
      <c r="N304" s="252"/>
      <c r="O304" s="285"/>
      <c r="P304" s="286"/>
    </row>
    <row r="305" spans="1:20" ht="10.15" customHeight="1">
      <c r="A305" s="315"/>
      <c r="B305" s="316"/>
      <c r="C305" s="255"/>
      <c r="D305" s="255"/>
      <c r="E305" s="255"/>
      <c r="F305" s="255"/>
      <c r="G305" s="255"/>
      <c r="H305" s="255"/>
      <c r="I305" s="255"/>
      <c r="J305" s="255"/>
      <c r="K305" s="255"/>
      <c r="L305" s="255"/>
      <c r="M305" s="255"/>
      <c r="N305" s="255"/>
      <c r="O305" s="255"/>
      <c r="P305" s="256"/>
    </row>
    <row r="306" spans="1:20" s="310" customFormat="1" ht="10.15" customHeight="1">
      <c r="A306" s="323" t="s">
        <v>8</v>
      </c>
      <c r="B306" s="324"/>
      <c r="C306" s="255"/>
      <c r="D306" s="255"/>
      <c r="E306" s="255"/>
      <c r="F306" s="255"/>
      <c r="G306" s="255"/>
      <c r="H306" s="255"/>
      <c r="I306" s="255"/>
      <c r="J306" s="255"/>
      <c r="K306" s="255"/>
      <c r="L306" s="255"/>
      <c r="M306" s="255"/>
      <c r="N306" s="255"/>
      <c r="O306" s="255"/>
      <c r="P306" s="256"/>
    </row>
    <row r="307" spans="1:20" s="310" customFormat="1" ht="10.15" customHeight="1">
      <c r="A307" s="323" t="s">
        <v>9</v>
      </c>
      <c r="B307" s="324"/>
      <c r="C307" s="287">
        <v>3500</v>
      </c>
      <c r="D307" s="287">
        <v>540</v>
      </c>
      <c r="E307" s="287">
        <v>2000</v>
      </c>
      <c r="F307" s="287">
        <v>5760</v>
      </c>
      <c r="G307" s="287">
        <v>4700</v>
      </c>
      <c r="H307" s="287">
        <v>8860</v>
      </c>
      <c r="I307" s="287">
        <v>12360</v>
      </c>
      <c r="J307" s="287">
        <v>11900</v>
      </c>
      <c r="K307" s="287">
        <v>18447</v>
      </c>
      <c r="L307" s="287">
        <v>18447</v>
      </c>
      <c r="M307" s="287">
        <v>14000</v>
      </c>
      <c r="N307" s="287">
        <v>16620</v>
      </c>
      <c r="O307" s="287">
        <f>SUM(C307:N307)</f>
        <v>117134</v>
      </c>
      <c r="P307" s="288">
        <f>O307/12</f>
        <v>9761.1666666666661</v>
      </c>
    </row>
    <row r="308" spans="1:20" ht="10.15" customHeight="1">
      <c r="A308" s="323"/>
      <c r="B308" s="324"/>
      <c r="C308" s="287"/>
      <c r="D308" s="287"/>
      <c r="E308" s="287"/>
      <c r="F308" s="287"/>
      <c r="G308" s="287"/>
      <c r="H308" s="287"/>
      <c r="I308" s="287"/>
      <c r="J308" s="287"/>
      <c r="K308" s="287"/>
      <c r="L308" s="287"/>
      <c r="M308" s="287"/>
      <c r="N308" s="287"/>
      <c r="O308" s="287"/>
      <c r="P308" s="288"/>
    </row>
    <row r="309" spans="1:20" s="310" customFormat="1" ht="10.15" customHeight="1">
      <c r="A309" s="323" t="s">
        <v>10</v>
      </c>
      <c r="B309" s="324"/>
      <c r="C309" s="287"/>
      <c r="D309" s="287"/>
      <c r="E309" s="287"/>
      <c r="F309" s="287"/>
      <c r="G309" s="287"/>
      <c r="H309" s="287"/>
      <c r="I309" s="287"/>
      <c r="J309" s="287"/>
      <c r="K309" s="287"/>
      <c r="L309" s="287"/>
      <c r="M309" s="287"/>
      <c r="N309" s="287"/>
      <c r="O309" s="287"/>
      <c r="P309" s="288"/>
    </row>
    <row r="310" spans="1:20" s="310" customFormat="1" ht="10.15" customHeight="1">
      <c r="A310" s="323" t="s">
        <v>11</v>
      </c>
      <c r="B310" s="324"/>
      <c r="C310" s="289"/>
      <c r="D310" s="289"/>
      <c r="E310" s="289"/>
      <c r="F310" s="289"/>
      <c r="G310" s="289"/>
      <c r="H310" s="289"/>
      <c r="I310" s="289"/>
      <c r="J310" s="289">
        <v>1020</v>
      </c>
      <c r="K310" s="289">
        <v>1020</v>
      </c>
      <c r="L310" s="289">
        <v>740</v>
      </c>
      <c r="M310" s="289"/>
      <c r="N310" s="289">
        <v>710</v>
      </c>
      <c r="O310" s="287">
        <f>SUM(C310:N310)</f>
        <v>3490</v>
      </c>
      <c r="P310" s="288">
        <f>O310/12</f>
        <v>290.83333333333331</v>
      </c>
    </row>
    <row r="311" spans="1:20" s="310" customFormat="1" ht="10.15" customHeight="1">
      <c r="A311" s="323" t="s">
        <v>12</v>
      </c>
      <c r="B311" s="324"/>
      <c r="C311" s="289"/>
      <c r="D311" s="289"/>
      <c r="E311" s="289"/>
      <c r="F311" s="289"/>
      <c r="G311" s="289"/>
      <c r="H311" s="289"/>
      <c r="I311" s="289"/>
      <c r="J311" s="289"/>
      <c r="K311" s="289"/>
      <c r="L311" s="289"/>
      <c r="M311" s="289"/>
      <c r="N311" s="289"/>
      <c r="O311" s="287"/>
      <c r="P311" s="288"/>
    </row>
    <row r="312" spans="1:20" s="310" customFormat="1" ht="10.15" customHeight="1">
      <c r="A312" s="323" t="s">
        <v>13</v>
      </c>
      <c r="B312" s="324"/>
      <c r="C312" s="289"/>
      <c r="D312" s="289"/>
      <c r="E312" s="289"/>
      <c r="F312" s="289"/>
      <c r="G312" s="289"/>
      <c r="H312" s="289"/>
      <c r="I312" s="289"/>
      <c r="J312" s="289"/>
      <c r="K312" s="289"/>
      <c r="L312" s="289"/>
      <c r="M312" s="289"/>
      <c r="N312" s="289"/>
      <c r="O312" s="287"/>
      <c r="P312" s="288"/>
    </row>
    <row r="313" spans="1:20" s="310" customFormat="1" ht="10.15" customHeight="1">
      <c r="A313" s="323" t="s">
        <v>14</v>
      </c>
      <c r="B313" s="324"/>
      <c r="C313" s="289"/>
      <c r="D313" s="289"/>
      <c r="E313" s="289"/>
      <c r="F313" s="289">
        <v>489</v>
      </c>
      <c r="G313" s="289"/>
      <c r="H313" s="289"/>
      <c r="I313" s="289"/>
      <c r="J313" s="289"/>
      <c r="K313" s="289"/>
      <c r="L313" s="289"/>
      <c r="M313" s="289"/>
      <c r="N313" s="289"/>
      <c r="O313" s="287">
        <f>SUM(C313:N313)</f>
        <v>489</v>
      </c>
      <c r="P313" s="288">
        <f>O313/12</f>
        <v>40.75</v>
      </c>
    </row>
    <row r="314" spans="1:20" s="310" customFormat="1" ht="10.15" customHeight="1">
      <c r="A314" s="323" t="s">
        <v>15</v>
      </c>
      <c r="B314" s="324"/>
      <c r="C314" s="290">
        <f t="shared" ref="C314:M314" si="70">SUM(C310:C313)</f>
        <v>0</v>
      </c>
      <c r="D314" s="290">
        <f t="shared" si="70"/>
        <v>0</v>
      </c>
      <c r="E314" s="290">
        <f>SUM(E310:E313)</f>
        <v>0</v>
      </c>
      <c r="F314" s="290">
        <f>SUM(F310:F313)</f>
        <v>489</v>
      </c>
      <c r="G314" s="290">
        <f t="shared" si="70"/>
        <v>0</v>
      </c>
      <c r="H314" s="290">
        <f t="shared" si="70"/>
        <v>0</v>
      </c>
      <c r="I314" s="290">
        <f t="shared" si="70"/>
        <v>0</v>
      </c>
      <c r="J314" s="290">
        <f>SUM(J310:J313)</f>
        <v>1020</v>
      </c>
      <c r="K314" s="290">
        <f>SUM(K310:K313)</f>
        <v>1020</v>
      </c>
      <c r="L314" s="290">
        <f>SUM(L310:L313)</f>
        <v>740</v>
      </c>
      <c r="M314" s="290">
        <f t="shared" si="70"/>
        <v>0</v>
      </c>
      <c r="N314" s="290">
        <f>SUM(N310:N313)</f>
        <v>710</v>
      </c>
      <c r="O314" s="290">
        <f>SUM(C314:N314)</f>
        <v>3979</v>
      </c>
      <c r="P314" s="291">
        <f>O314/12</f>
        <v>331.58333333333331</v>
      </c>
    </row>
    <row r="315" spans="1:20" ht="10.15" customHeight="1">
      <c r="A315" s="317"/>
      <c r="B315" s="318"/>
      <c r="C315" s="255"/>
      <c r="D315" s="255"/>
      <c r="E315" s="255"/>
      <c r="F315" s="255"/>
      <c r="G315" s="255"/>
      <c r="H315" s="255"/>
      <c r="I315" s="255"/>
      <c r="J315" s="255"/>
      <c r="K315" s="255"/>
      <c r="L315" s="255"/>
      <c r="M315" s="255"/>
      <c r="N315" s="255"/>
      <c r="O315" s="255"/>
      <c r="P315" s="256"/>
    </row>
    <row r="316" spans="1:20" ht="10.15" customHeight="1">
      <c r="A316" s="325" t="s">
        <v>16</v>
      </c>
      <c r="B316" s="326"/>
      <c r="C316" s="290">
        <f t="shared" ref="C316:N316" si="71">C307+C314</f>
        <v>3500</v>
      </c>
      <c r="D316" s="290">
        <f t="shared" si="71"/>
        <v>540</v>
      </c>
      <c r="E316" s="290">
        <f t="shared" si="71"/>
        <v>2000</v>
      </c>
      <c r="F316" s="290">
        <f t="shared" si="71"/>
        <v>6249</v>
      </c>
      <c r="G316" s="290">
        <f t="shared" si="71"/>
        <v>4700</v>
      </c>
      <c r="H316" s="290">
        <f t="shared" si="71"/>
        <v>8860</v>
      </c>
      <c r="I316" s="290">
        <f t="shared" si="71"/>
        <v>12360</v>
      </c>
      <c r="J316" s="290">
        <f t="shared" si="71"/>
        <v>12920</v>
      </c>
      <c r="K316" s="290">
        <f t="shared" si="71"/>
        <v>19467</v>
      </c>
      <c r="L316" s="290">
        <f t="shared" si="71"/>
        <v>19187</v>
      </c>
      <c r="M316" s="290">
        <f t="shared" si="71"/>
        <v>14000</v>
      </c>
      <c r="N316" s="290">
        <f t="shared" si="71"/>
        <v>17330</v>
      </c>
      <c r="O316" s="290">
        <f>SUM(C316:N316)</f>
        <v>121113</v>
      </c>
      <c r="P316" s="291">
        <f>O316/12</f>
        <v>10092.75</v>
      </c>
    </row>
    <row r="317" spans="1:20" ht="10.15" customHeight="1">
      <c r="A317" s="317"/>
      <c r="B317" s="318"/>
      <c r="C317" s="255"/>
      <c r="D317" s="255"/>
      <c r="E317" s="255"/>
      <c r="F317" s="255"/>
      <c r="G317" s="255"/>
      <c r="H317" s="255"/>
      <c r="I317" s="255"/>
      <c r="J317" s="255"/>
      <c r="K317" s="255"/>
      <c r="L317" s="255"/>
      <c r="M317" s="255"/>
      <c r="N317" s="255"/>
      <c r="O317" s="255"/>
      <c r="P317" s="256"/>
    </row>
    <row r="318" spans="1:20" ht="10.15" customHeight="1">
      <c r="A318" s="321" t="s">
        <v>17</v>
      </c>
      <c r="B318" s="322"/>
      <c r="C318" s="252"/>
      <c r="D318" s="252"/>
      <c r="E318" s="252"/>
      <c r="F318" s="252"/>
      <c r="G318" s="252"/>
      <c r="H318" s="252"/>
      <c r="I318" s="252"/>
      <c r="J318" s="252"/>
      <c r="K318" s="252"/>
      <c r="L318" s="252"/>
      <c r="M318" s="252"/>
      <c r="N318" s="252"/>
      <c r="O318" s="252"/>
      <c r="P318" s="292"/>
    </row>
    <row r="319" spans="1:20" ht="10.15" customHeight="1">
      <c r="A319" s="315"/>
      <c r="B319" s="316"/>
      <c r="C319" s="255"/>
      <c r="D319" s="255"/>
      <c r="E319" s="255"/>
      <c r="F319" s="255"/>
      <c r="G319" s="255"/>
      <c r="H319" s="255"/>
      <c r="I319" s="255"/>
      <c r="J319" s="255"/>
      <c r="K319" s="255"/>
      <c r="L319" s="255"/>
      <c r="M319" s="255"/>
      <c r="N319" s="255"/>
      <c r="O319" s="255"/>
      <c r="P319" s="256"/>
    </row>
    <row r="320" spans="1:20" ht="10.15" customHeight="1">
      <c r="A320" s="319" t="s">
        <v>18</v>
      </c>
      <c r="B320" s="245" t="s">
        <v>19</v>
      </c>
      <c r="C320" s="293">
        <v>0</v>
      </c>
      <c r="D320" s="293">
        <v>0</v>
      </c>
      <c r="E320" s="293">
        <v>0</v>
      </c>
      <c r="F320" s="293">
        <v>350</v>
      </c>
      <c r="G320" s="293">
        <v>0</v>
      </c>
      <c r="H320" s="293">
        <v>480</v>
      </c>
      <c r="I320" s="293">
        <v>700</v>
      </c>
      <c r="J320" s="293">
        <v>500</v>
      </c>
      <c r="K320" s="293">
        <v>1100</v>
      </c>
      <c r="L320" s="293">
        <v>730</v>
      </c>
      <c r="M320" s="293">
        <v>840</v>
      </c>
      <c r="N320" s="293">
        <v>1200</v>
      </c>
      <c r="O320" s="294">
        <f t="shared" ref="O320:O328" si="72">SUM(C320:N320)</f>
        <v>5900</v>
      </c>
      <c r="P320" s="295">
        <f>O320/12</f>
        <v>491.66666666666669</v>
      </c>
      <c r="Q320" s="222"/>
      <c r="R320" s="222"/>
      <c r="S320" s="222"/>
      <c r="T320" s="222"/>
    </row>
    <row r="321" spans="1:20" ht="10.15" customHeight="1">
      <c r="A321" s="319"/>
      <c r="B321" s="245" t="s">
        <v>20</v>
      </c>
      <c r="C321" s="293">
        <v>0</v>
      </c>
      <c r="D321" s="293">
        <v>0</v>
      </c>
      <c r="E321" s="293">
        <v>0</v>
      </c>
      <c r="F321" s="293">
        <v>0</v>
      </c>
      <c r="G321" s="293">
        <v>0</v>
      </c>
      <c r="H321" s="293">
        <v>0</v>
      </c>
      <c r="I321" s="293">
        <v>0</v>
      </c>
      <c r="J321" s="293">
        <v>0</v>
      </c>
      <c r="K321" s="293">
        <v>0</v>
      </c>
      <c r="L321" s="293">
        <v>0</v>
      </c>
      <c r="M321" s="293">
        <v>0</v>
      </c>
      <c r="N321" s="293">
        <v>0</v>
      </c>
      <c r="O321" s="294">
        <f t="shared" si="72"/>
        <v>0</v>
      </c>
      <c r="P321" s="295">
        <f t="shared" ref="P321:P327" si="73">O321/12</f>
        <v>0</v>
      </c>
      <c r="Q321" s="222"/>
      <c r="R321" s="222"/>
      <c r="S321" s="222"/>
      <c r="T321" s="222"/>
    </row>
    <row r="322" spans="1:20" ht="10.15" customHeight="1">
      <c r="A322" s="319"/>
      <c r="B322" s="245" t="s">
        <v>21</v>
      </c>
      <c r="C322" s="296">
        <v>0</v>
      </c>
      <c r="D322" s="296">
        <v>0</v>
      </c>
      <c r="E322" s="296">
        <v>0</v>
      </c>
      <c r="F322" s="296">
        <v>60</v>
      </c>
      <c r="G322" s="296">
        <v>0</v>
      </c>
      <c r="H322" s="296">
        <v>60</v>
      </c>
      <c r="I322" s="296">
        <v>90</v>
      </c>
      <c r="J322" s="296">
        <v>0</v>
      </c>
      <c r="K322" s="296">
        <v>150</v>
      </c>
      <c r="L322" s="296">
        <v>60</v>
      </c>
      <c r="M322" s="296">
        <v>120</v>
      </c>
      <c r="N322" s="296">
        <v>180</v>
      </c>
      <c r="O322" s="297">
        <f t="shared" si="72"/>
        <v>720</v>
      </c>
      <c r="P322" s="298">
        <f>O322/12</f>
        <v>60</v>
      </c>
      <c r="Q322" s="222"/>
      <c r="R322" s="222"/>
      <c r="S322" s="222"/>
      <c r="T322" s="222"/>
    </row>
    <row r="323" spans="1:20" ht="10.15" customHeight="1">
      <c r="A323" s="319"/>
      <c r="B323" s="245" t="s">
        <v>22</v>
      </c>
      <c r="C323" s="296">
        <v>0</v>
      </c>
      <c r="D323" s="296">
        <v>0</v>
      </c>
      <c r="E323" s="296">
        <v>0</v>
      </c>
      <c r="F323" s="296">
        <v>0</v>
      </c>
      <c r="G323" s="296">
        <v>0</v>
      </c>
      <c r="H323" s="296">
        <v>0</v>
      </c>
      <c r="I323" s="296">
        <v>0</v>
      </c>
      <c r="J323" s="296">
        <v>0</v>
      </c>
      <c r="K323" s="296">
        <v>0</v>
      </c>
      <c r="L323" s="296">
        <v>0</v>
      </c>
      <c r="M323" s="296">
        <v>0</v>
      </c>
      <c r="N323" s="296">
        <v>0</v>
      </c>
      <c r="O323" s="297">
        <f t="shared" si="72"/>
        <v>0</v>
      </c>
      <c r="P323" s="298">
        <f t="shared" si="73"/>
        <v>0</v>
      </c>
      <c r="Q323" s="222"/>
      <c r="R323" s="222"/>
      <c r="S323" s="222"/>
      <c r="T323" s="222"/>
    </row>
    <row r="324" spans="1:20" ht="10.15" customHeight="1">
      <c r="A324" s="319"/>
      <c r="B324" s="245" t="s">
        <v>23</v>
      </c>
      <c r="C324" s="296">
        <v>0</v>
      </c>
      <c r="D324" s="296">
        <v>0</v>
      </c>
      <c r="E324" s="296">
        <v>0</v>
      </c>
      <c r="F324" s="296">
        <v>740</v>
      </c>
      <c r="G324" s="296">
        <v>0</v>
      </c>
      <c r="H324" s="296">
        <v>700</v>
      </c>
      <c r="I324" s="296">
        <v>690</v>
      </c>
      <c r="J324" s="296">
        <v>0</v>
      </c>
      <c r="K324" s="296">
        <v>1630</v>
      </c>
      <c r="L324" s="296">
        <v>710</v>
      </c>
      <c r="M324" s="296">
        <v>660</v>
      </c>
      <c r="N324" s="296">
        <v>1410</v>
      </c>
      <c r="O324" s="297">
        <f t="shared" si="72"/>
        <v>6540</v>
      </c>
      <c r="P324" s="298">
        <f>O324/12</f>
        <v>545</v>
      </c>
      <c r="Q324" s="222"/>
      <c r="R324" s="222"/>
      <c r="S324" s="222"/>
      <c r="T324" s="222"/>
    </row>
    <row r="325" spans="1:20" ht="10.15" customHeight="1">
      <c r="A325" s="319"/>
      <c r="B325" s="245" t="s">
        <v>24</v>
      </c>
      <c r="C325" s="296">
        <v>0</v>
      </c>
      <c r="D325" s="296">
        <v>0</v>
      </c>
      <c r="E325" s="296">
        <v>0</v>
      </c>
      <c r="F325" s="296">
        <v>0</v>
      </c>
      <c r="G325" s="296">
        <v>0</v>
      </c>
      <c r="H325" s="296">
        <v>0</v>
      </c>
      <c r="I325" s="296">
        <v>0</v>
      </c>
      <c r="J325" s="296">
        <v>0</v>
      </c>
      <c r="K325" s="296">
        <v>0</v>
      </c>
      <c r="L325" s="296">
        <v>0</v>
      </c>
      <c r="M325" s="296">
        <v>0</v>
      </c>
      <c r="N325" s="296">
        <v>0</v>
      </c>
      <c r="O325" s="297">
        <f t="shared" si="72"/>
        <v>0</v>
      </c>
      <c r="P325" s="298">
        <f t="shared" si="73"/>
        <v>0</v>
      </c>
      <c r="Q325" s="222"/>
      <c r="R325" s="222"/>
      <c r="S325" s="222"/>
      <c r="T325" s="222"/>
    </row>
    <row r="326" spans="1:20" ht="10.15" customHeight="1">
      <c r="A326" s="319"/>
      <c r="B326" s="245" t="s">
        <v>25</v>
      </c>
      <c r="C326" s="296">
        <v>0</v>
      </c>
      <c r="D326" s="296">
        <v>0</v>
      </c>
      <c r="E326" s="296">
        <v>0</v>
      </c>
      <c r="F326" s="296">
        <v>0</v>
      </c>
      <c r="G326" s="296">
        <v>0</v>
      </c>
      <c r="H326" s="296">
        <v>0</v>
      </c>
      <c r="I326" s="296">
        <v>0</v>
      </c>
      <c r="J326" s="296">
        <v>0</v>
      </c>
      <c r="K326" s="296">
        <v>0</v>
      </c>
      <c r="L326" s="296">
        <v>0</v>
      </c>
      <c r="M326" s="296">
        <v>0</v>
      </c>
      <c r="N326" s="296">
        <v>0</v>
      </c>
      <c r="O326" s="297">
        <f t="shared" si="72"/>
        <v>0</v>
      </c>
      <c r="P326" s="298">
        <f t="shared" si="73"/>
        <v>0</v>
      </c>
      <c r="Q326" s="222"/>
      <c r="R326" s="222"/>
      <c r="S326" s="222"/>
      <c r="T326" s="222"/>
    </row>
    <row r="327" spans="1:20" ht="10.15" customHeight="1">
      <c r="A327" s="319"/>
      <c r="B327" s="245" t="s">
        <v>26</v>
      </c>
      <c r="C327" s="296">
        <v>0</v>
      </c>
      <c r="D327" s="296">
        <v>0</v>
      </c>
      <c r="E327" s="296">
        <v>0</v>
      </c>
      <c r="F327" s="296">
        <v>0</v>
      </c>
      <c r="G327" s="296">
        <v>0</v>
      </c>
      <c r="H327" s="296">
        <v>0</v>
      </c>
      <c r="I327" s="296">
        <v>0</v>
      </c>
      <c r="J327" s="296">
        <v>0</v>
      </c>
      <c r="K327" s="296">
        <v>0</v>
      </c>
      <c r="L327" s="296">
        <v>0</v>
      </c>
      <c r="M327" s="296">
        <v>0</v>
      </c>
      <c r="N327" s="296">
        <v>0</v>
      </c>
      <c r="O327" s="297">
        <f t="shared" si="72"/>
        <v>0</v>
      </c>
      <c r="P327" s="298">
        <f t="shared" si="73"/>
        <v>0</v>
      </c>
      <c r="Q327" s="222"/>
      <c r="R327" s="222"/>
      <c r="S327" s="222"/>
      <c r="T327" s="222"/>
    </row>
    <row r="328" spans="1:20" ht="10.15" customHeight="1">
      <c r="A328" s="319" t="s">
        <v>27</v>
      </c>
      <c r="B328" s="320"/>
      <c r="C328" s="297">
        <f t="shared" ref="C328:N328" si="74">SUM(C320:C327)</f>
        <v>0</v>
      </c>
      <c r="D328" s="297">
        <f t="shared" si="74"/>
        <v>0</v>
      </c>
      <c r="E328" s="297">
        <f t="shared" si="74"/>
        <v>0</v>
      </c>
      <c r="F328" s="297">
        <f t="shared" si="74"/>
        <v>1150</v>
      </c>
      <c r="G328" s="297">
        <f t="shared" si="74"/>
        <v>0</v>
      </c>
      <c r="H328" s="297">
        <f t="shared" si="74"/>
        <v>1240</v>
      </c>
      <c r="I328" s="297">
        <f t="shared" si="74"/>
        <v>1480</v>
      </c>
      <c r="J328" s="297">
        <f t="shared" si="74"/>
        <v>500</v>
      </c>
      <c r="K328" s="297">
        <f t="shared" si="74"/>
        <v>2880</v>
      </c>
      <c r="L328" s="297">
        <f t="shared" si="74"/>
        <v>1500</v>
      </c>
      <c r="M328" s="297">
        <f t="shared" si="74"/>
        <v>1620</v>
      </c>
      <c r="N328" s="297">
        <f t="shared" si="74"/>
        <v>2790</v>
      </c>
      <c r="O328" s="297">
        <f t="shared" si="72"/>
        <v>13160</v>
      </c>
      <c r="P328" s="298">
        <f>O328/12</f>
        <v>1096.6666666666667</v>
      </c>
      <c r="Q328" s="222"/>
      <c r="R328" s="222"/>
      <c r="S328" s="222"/>
      <c r="T328" s="222"/>
    </row>
    <row r="329" spans="1:20" ht="10.15" customHeight="1">
      <c r="A329" s="308"/>
      <c r="B329" s="246"/>
      <c r="C329" s="297"/>
      <c r="D329" s="297"/>
      <c r="E329" s="297"/>
      <c r="F329" s="297"/>
      <c r="G329" s="297"/>
      <c r="H329" s="297"/>
      <c r="I329" s="297"/>
      <c r="J329" s="297"/>
      <c r="K329" s="297"/>
      <c r="L329" s="297"/>
      <c r="M329" s="297"/>
      <c r="N329" s="297"/>
      <c r="O329" s="297"/>
      <c r="P329" s="298"/>
      <c r="Q329" s="222"/>
      <c r="R329" s="222"/>
      <c r="S329" s="222"/>
      <c r="T329" s="222"/>
    </row>
    <row r="330" spans="1:20" ht="10.15" customHeight="1">
      <c r="A330" s="319" t="s">
        <v>28</v>
      </c>
      <c r="B330" s="245" t="s">
        <v>29</v>
      </c>
      <c r="C330" s="296">
        <v>0</v>
      </c>
      <c r="D330" s="296">
        <v>0</v>
      </c>
      <c r="E330" s="296">
        <v>0</v>
      </c>
      <c r="F330" s="296">
        <v>0</v>
      </c>
      <c r="G330" s="296">
        <v>0</v>
      </c>
      <c r="H330" s="296">
        <v>0</v>
      </c>
      <c r="I330" s="296">
        <v>34</v>
      </c>
      <c r="J330" s="296">
        <v>0</v>
      </c>
      <c r="K330" s="296">
        <v>0</v>
      </c>
      <c r="L330" s="296">
        <v>0</v>
      </c>
      <c r="M330" s="296">
        <v>0</v>
      </c>
      <c r="N330" s="296">
        <v>1640</v>
      </c>
      <c r="O330" s="297">
        <f>SUM(C330:N330)</f>
        <v>1674</v>
      </c>
      <c r="P330" s="298">
        <f>O330/12</f>
        <v>139.5</v>
      </c>
      <c r="Q330" s="222"/>
      <c r="R330" s="222"/>
      <c r="S330" s="222"/>
      <c r="T330" s="222"/>
    </row>
    <row r="331" spans="1:20" ht="10.15" customHeight="1">
      <c r="A331" s="319"/>
      <c r="B331" s="245" t="s">
        <v>30</v>
      </c>
      <c r="C331" s="296">
        <v>0</v>
      </c>
      <c r="D331" s="296">
        <v>0</v>
      </c>
      <c r="E331" s="296">
        <v>0</v>
      </c>
      <c r="F331" s="296">
        <v>0</v>
      </c>
      <c r="G331" s="296">
        <v>0</v>
      </c>
      <c r="H331" s="296">
        <v>2960</v>
      </c>
      <c r="I331" s="296">
        <v>1086</v>
      </c>
      <c r="J331" s="296">
        <v>360</v>
      </c>
      <c r="K331" s="296">
        <v>5990</v>
      </c>
      <c r="L331" s="296">
        <v>1140</v>
      </c>
      <c r="M331" s="296">
        <v>1960</v>
      </c>
      <c r="N331" s="296">
        <v>1340</v>
      </c>
      <c r="O331" s="297">
        <f>SUM(C331:N331)</f>
        <v>14836</v>
      </c>
      <c r="P331" s="298">
        <f>O331/12</f>
        <v>1236.3333333333333</v>
      </c>
      <c r="Q331" s="222"/>
      <c r="R331" s="222"/>
      <c r="S331" s="222"/>
      <c r="T331" s="222"/>
    </row>
    <row r="332" spans="1:20" ht="10.15" customHeight="1">
      <c r="A332" s="319"/>
      <c r="B332" s="245" t="s">
        <v>31</v>
      </c>
      <c r="C332" s="296">
        <v>0</v>
      </c>
      <c r="D332" s="296">
        <v>0</v>
      </c>
      <c r="E332" s="296">
        <v>0</v>
      </c>
      <c r="F332" s="296">
        <v>0</v>
      </c>
      <c r="G332" s="296">
        <v>1280</v>
      </c>
      <c r="H332" s="296">
        <v>0</v>
      </c>
      <c r="I332" s="296">
        <v>3120</v>
      </c>
      <c r="J332" s="296">
        <v>1200</v>
      </c>
      <c r="K332" s="296">
        <v>4007</v>
      </c>
      <c r="L332" s="296">
        <v>1540</v>
      </c>
      <c r="M332" s="296">
        <v>1840</v>
      </c>
      <c r="N332" s="296">
        <v>3060</v>
      </c>
      <c r="O332" s="297">
        <f>SUM(C332:N332)</f>
        <v>16047</v>
      </c>
      <c r="P332" s="298">
        <f>O332/12</f>
        <v>1337.25</v>
      </c>
      <c r="Q332" s="222"/>
      <c r="R332" s="222"/>
      <c r="S332" s="222"/>
      <c r="T332" s="222"/>
    </row>
    <row r="333" spans="1:20" ht="10.15" customHeight="1">
      <c r="A333" s="319"/>
      <c r="B333" s="245" t="s">
        <v>32</v>
      </c>
      <c r="C333" s="296">
        <v>0</v>
      </c>
      <c r="D333" s="296">
        <v>0</v>
      </c>
      <c r="E333" s="296">
        <v>0</v>
      </c>
      <c r="F333" s="296">
        <v>0</v>
      </c>
      <c r="G333" s="296">
        <v>1240</v>
      </c>
      <c r="H333" s="296">
        <v>0</v>
      </c>
      <c r="I333" s="296">
        <v>1040</v>
      </c>
      <c r="J333" s="296">
        <v>160</v>
      </c>
      <c r="K333" s="296">
        <v>580</v>
      </c>
      <c r="L333" s="296">
        <v>260</v>
      </c>
      <c r="M333" s="296">
        <v>920</v>
      </c>
      <c r="N333" s="296">
        <v>440</v>
      </c>
      <c r="O333" s="297">
        <f>SUM(C333:N333)</f>
        <v>4640</v>
      </c>
      <c r="P333" s="298">
        <f>O333/12</f>
        <v>386.66666666666669</v>
      </c>
      <c r="Q333" s="222"/>
      <c r="R333" s="222"/>
      <c r="S333" s="222"/>
      <c r="T333" s="222"/>
    </row>
    <row r="334" spans="1:20" ht="10.15" customHeight="1">
      <c r="A334" s="319" t="s">
        <v>27</v>
      </c>
      <c r="B334" s="320"/>
      <c r="C334" s="297">
        <f t="shared" ref="C334:N334" si="75">SUM(C330:C333)</f>
        <v>0</v>
      </c>
      <c r="D334" s="297">
        <f t="shared" si="75"/>
        <v>0</v>
      </c>
      <c r="E334" s="297">
        <f t="shared" si="75"/>
        <v>0</v>
      </c>
      <c r="F334" s="297">
        <f t="shared" si="75"/>
        <v>0</v>
      </c>
      <c r="G334" s="297">
        <f t="shared" si="75"/>
        <v>2520</v>
      </c>
      <c r="H334" s="297">
        <f t="shared" si="75"/>
        <v>2960</v>
      </c>
      <c r="I334" s="297">
        <f t="shared" si="75"/>
        <v>5280</v>
      </c>
      <c r="J334" s="297">
        <f t="shared" si="75"/>
        <v>1720</v>
      </c>
      <c r="K334" s="297">
        <f t="shared" si="75"/>
        <v>10577</v>
      </c>
      <c r="L334" s="297">
        <f t="shared" si="75"/>
        <v>2940</v>
      </c>
      <c r="M334" s="297">
        <f t="shared" si="75"/>
        <v>4720</v>
      </c>
      <c r="N334" s="297">
        <f t="shared" si="75"/>
        <v>6480</v>
      </c>
      <c r="O334" s="297">
        <f>SUM(C334:N334)</f>
        <v>37197</v>
      </c>
      <c r="P334" s="298">
        <f>O334/12</f>
        <v>3099.75</v>
      </c>
      <c r="Q334" s="222"/>
      <c r="R334" s="222"/>
      <c r="S334" s="222"/>
      <c r="T334" s="222"/>
    </row>
    <row r="335" spans="1:20" ht="10.15" customHeight="1">
      <c r="A335" s="308"/>
      <c r="B335" s="246"/>
      <c r="C335" s="297"/>
      <c r="D335" s="297"/>
      <c r="E335" s="297"/>
      <c r="F335" s="297"/>
      <c r="G335" s="297"/>
      <c r="H335" s="297"/>
      <c r="I335" s="297"/>
      <c r="J335" s="297"/>
      <c r="K335" s="297"/>
      <c r="L335" s="297"/>
      <c r="M335" s="297"/>
      <c r="N335" s="297"/>
      <c r="O335" s="297"/>
      <c r="P335" s="298"/>
      <c r="Q335" s="222"/>
      <c r="R335" s="222"/>
      <c r="S335" s="222"/>
      <c r="T335" s="222"/>
    </row>
    <row r="336" spans="1:20" ht="10.15" customHeight="1">
      <c r="A336" s="319" t="s">
        <v>33</v>
      </c>
      <c r="B336" s="245" t="s">
        <v>34</v>
      </c>
      <c r="C336" s="296">
        <v>0</v>
      </c>
      <c r="D336" s="296">
        <v>0</v>
      </c>
      <c r="E336" s="296">
        <v>0</v>
      </c>
      <c r="F336" s="296">
        <v>0</v>
      </c>
      <c r="G336" s="296">
        <v>0</v>
      </c>
      <c r="H336" s="296">
        <v>0</v>
      </c>
      <c r="I336" s="296">
        <v>0</v>
      </c>
      <c r="J336" s="296">
        <v>0</v>
      </c>
      <c r="K336" s="296">
        <v>0</v>
      </c>
      <c r="L336" s="296">
        <v>0</v>
      </c>
      <c r="M336" s="296">
        <v>0</v>
      </c>
      <c r="N336" s="296">
        <v>0</v>
      </c>
      <c r="O336" s="294">
        <f>SUM(C336:N336)</f>
        <v>0</v>
      </c>
      <c r="P336" s="295">
        <f>O336/12</f>
        <v>0</v>
      </c>
      <c r="Q336" s="222"/>
      <c r="R336" s="222"/>
      <c r="S336" s="222"/>
      <c r="T336" s="222"/>
    </row>
    <row r="337" spans="1:20" ht="10.15" customHeight="1">
      <c r="A337" s="319"/>
      <c r="B337" s="245" t="s">
        <v>35</v>
      </c>
      <c r="C337" s="296">
        <v>0</v>
      </c>
      <c r="D337" s="296">
        <v>0</v>
      </c>
      <c r="E337" s="296">
        <v>0</v>
      </c>
      <c r="F337" s="296">
        <v>0</v>
      </c>
      <c r="G337" s="296">
        <v>0</v>
      </c>
      <c r="H337" s="296">
        <v>0</v>
      </c>
      <c r="I337" s="296">
        <v>0</v>
      </c>
      <c r="J337" s="296">
        <v>0</v>
      </c>
      <c r="K337" s="296">
        <v>0</v>
      </c>
      <c r="L337" s="296">
        <v>0</v>
      </c>
      <c r="M337" s="296">
        <v>0</v>
      </c>
      <c r="N337" s="296">
        <v>0</v>
      </c>
      <c r="O337" s="294">
        <f>SUM(C337:N337)</f>
        <v>0</v>
      </c>
      <c r="P337" s="295">
        <f>O337/12</f>
        <v>0</v>
      </c>
      <c r="Q337" s="222"/>
      <c r="R337" s="222"/>
      <c r="S337" s="222"/>
      <c r="T337" s="222"/>
    </row>
    <row r="338" spans="1:20" ht="10.15" customHeight="1">
      <c r="A338" s="319" t="s">
        <v>27</v>
      </c>
      <c r="B338" s="320"/>
      <c r="C338" s="297">
        <f>SUM(C336:C337)</f>
        <v>0</v>
      </c>
      <c r="D338" s="297">
        <f t="shared" ref="D338:N338" si="76">SUM(B338:C338)</f>
        <v>0</v>
      </c>
      <c r="E338" s="297">
        <f t="shared" si="76"/>
        <v>0</v>
      </c>
      <c r="F338" s="297">
        <f t="shared" si="76"/>
        <v>0</v>
      </c>
      <c r="G338" s="297">
        <f t="shared" si="76"/>
        <v>0</v>
      </c>
      <c r="H338" s="297">
        <f t="shared" si="76"/>
        <v>0</v>
      </c>
      <c r="I338" s="297">
        <f t="shared" si="76"/>
        <v>0</v>
      </c>
      <c r="J338" s="297">
        <f t="shared" si="76"/>
        <v>0</v>
      </c>
      <c r="K338" s="297">
        <f t="shared" si="76"/>
        <v>0</v>
      </c>
      <c r="L338" s="297">
        <f t="shared" si="76"/>
        <v>0</v>
      </c>
      <c r="M338" s="297">
        <f t="shared" si="76"/>
        <v>0</v>
      </c>
      <c r="N338" s="297">
        <f t="shared" si="76"/>
        <v>0</v>
      </c>
      <c r="O338" s="294">
        <f>SUM(C338:N338)</f>
        <v>0</v>
      </c>
      <c r="P338" s="295">
        <f>O338/12</f>
        <v>0</v>
      </c>
      <c r="Q338" s="222"/>
      <c r="R338" s="222"/>
      <c r="S338" s="222"/>
      <c r="T338" s="222"/>
    </row>
    <row r="339" spans="1:20" ht="10.15" customHeight="1">
      <c r="A339" s="308"/>
      <c r="B339" s="246"/>
      <c r="C339" s="297"/>
      <c r="D339" s="297"/>
      <c r="E339" s="297"/>
      <c r="F339" s="297"/>
      <c r="G339" s="297"/>
      <c r="H339" s="297"/>
      <c r="I339" s="297"/>
      <c r="J339" s="297"/>
      <c r="K339" s="297"/>
      <c r="L339" s="297"/>
      <c r="M339" s="297"/>
      <c r="N339" s="297"/>
      <c r="O339" s="294"/>
      <c r="P339" s="295"/>
      <c r="Q339" s="222"/>
      <c r="R339" s="222"/>
      <c r="S339" s="222"/>
      <c r="T339" s="222"/>
    </row>
    <row r="340" spans="1:20" ht="10.15" customHeight="1">
      <c r="A340" s="319" t="s">
        <v>36</v>
      </c>
      <c r="B340" s="245" t="s">
        <v>37</v>
      </c>
      <c r="C340" s="296">
        <v>0</v>
      </c>
      <c r="D340" s="296">
        <v>0</v>
      </c>
      <c r="E340" s="296">
        <v>0</v>
      </c>
      <c r="F340" s="296">
        <v>696</v>
      </c>
      <c r="G340" s="296">
        <v>275</v>
      </c>
      <c r="H340" s="296">
        <v>0</v>
      </c>
      <c r="I340" s="296">
        <v>0</v>
      </c>
      <c r="J340" s="296">
        <v>0</v>
      </c>
      <c r="K340" s="296">
        <v>0</v>
      </c>
      <c r="L340" s="296">
        <v>0</v>
      </c>
      <c r="M340" s="296">
        <v>0</v>
      </c>
      <c r="N340" s="296">
        <v>0</v>
      </c>
      <c r="O340" s="294">
        <f>SUM(C340:N340)</f>
        <v>971</v>
      </c>
      <c r="P340" s="295">
        <f>O340/12</f>
        <v>80.916666666666671</v>
      </c>
      <c r="Q340" s="222"/>
      <c r="R340" s="222"/>
      <c r="S340" s="222"/>
      <c r="T340" s="222"/>
    </row>
    <row r="341" spans="1:20" ht="10.15" customHeight="1">
      <c r="A341" s="319"/>
      <c r="B341" s="245" t="s">
        <v>38</v>
      </c>
      <c r="C341" s="296">
        <v>0</v>
      </c>
      <c r="D341" s="296">
        <v>0</v>
      </c>
      <c r="E341" s="296">
        <v>0</v>
      </c>
      <c r="F341" s="296">
        <v>0</v>
      </c>
      <c r="G341" s="296">
        <v>0</v>
      </c>
      <c r="H341" s="296">
        <v>0</v>
      </c>
      <c r="I341" s="296">
        <v>539</v>
      </c>
      <c r="J341" s="296">
        <v>0</v>
      </c>
      <c r="K341" s="296">
        <v>0</v>
      </c>
      <c r="L341" s="296">
        <v>713.6</v>
      </c>
      <c r="M341" s="296">
        <v>455</v>
      </c>
      <c r="N341" s="296">
        <v>0</v>
      </c>
      <c r="O341" s="294">
        <f>SUM(C341:N341)</f>
        <v>1707.6</v>
      </c>
      <c r="P341" s="295">
        <f>O341/12</f>
        <v>142.29999999999998</v>
      </c>
      <c r="Q341" s="222"/>
      <c r="R341" s="222"/>
      <c r="S341" s="222"/>
      <c r="T341" s="222"/>
    </row>
    <row r="342" spans="1:20" ht="10.15" customHeight="1">
      <c r="A342" s="319"/>
      <c r="B342" s="245" t="s">
        <v>39</v>
      </c>
      <c r="C342" s="296">
        <v>0</v>
      </c>
      <c r="D342" s="296">
        <v>0</v>
      </c>
      <c r="E342" s="296">
        <v>0</v>
      </c>
      <c r="F342" s="296">
        <v>166</v>
      </c>
      <c r="G342" s="296">
        <v>0</v>
      </c>
      <c r="H342" s="296">
        <v>0</v>
      </c>
      <c r="I342" s="296">
        <v>0</v>
      </c>
      <c r="J342" s="296">
        <v>0</v>
      </c>
      <c r="K342" s="296">
        <v>0</v>
      </c>
      <c r="L342" s="296">
        <v>0</v>
      </c>
      <c r="M342" s="296">
        <v>0</v>
      </c>
      <c r="N342" s="296">
        <v>0</v>
      </c>
      <c r="O342" s="294">
        <f>SUM(C342:N342)</f>
        <v>166</v>
      </c>
      <c r="P342" s="295">
        <f>O342/12</f>
        <v>13.833333333333334</v>
      </c>
      <c r="Q342" s="222"/>
      <c r="R342" s="222"/>
      <c r="S342" s="222"/>
      <c r="T342" s="222"/>
    </row>
    <row r="343" spans="1:20" ht="10.15" customHeight="1">
      <c r="A343" s="319" t="s">
        <v>27</v>
      </c>
      <c r="B343" s="320"/>
      <c r="C343" s="285">
        <f t="shared" ref="C343:N343" si="77">SUM(C340:C342)</f>
        <v>0</v>
      </c>
      <c r="D343" s="285">
        <f t="shared" si="77"/>
        <v>0</v>
      </c>
      <c r="E343" s="285">
        <f t="shared" si="77"/>
        <v>0</v>
      </c>
      <c r="F343" s="285">
        <f>SUM(F340:F342)</f>
        <v>862</v>
      </c>
      <c r="G343" s="285">
        <f>SUM(G340:G342)</f>
        <v>275</v>
      </c>
      <c r="H343" s="285">
        <f t="shared" si="77"/>
        <v>0</v>
      </c>
      <c r="I343" s="285">
        <f>SUM(I340:I342)</f>
        <v>539</v>
      </c>
      <c r="J343" s="285">
        <f t="shared" si="77"/>
        <v>0</v>
      </c>
      <c r="K343" s="285">
        <f t="shared" si="77"/>
        <v>0</v>
      </c>
      <c r="L343" s="285">
        <f>SUM(L340:L342)</f>
        <v>713.6</v>
      </c>
      <c r="M343" s="285">
        <f>SUM(M340:M342)</f>
        <v>455</v>
      </c>
      <c r="N343" s="285">
        <f t="shared" si="77"/>
        <v>0</v>
      </c>
      <c r="O343" s="294">
        <f>SUM(C343:N343)</f>
        <v>2844.6</v>
      </c>
      <c r="P343" s="295">
        <f>O343/12</f>
        <v>237.04999999999998</v>
      </c>
      <c r="Q343" s="222"/>
      <c r="R343" s="222"/>
      <c r="S343" s="222"/>
      <c r="T343" s="222"/>
    </row>
    <row r="344" spans="1:20" ht="10.15" customHeight="1">
      <c r="A344" s="308"/>
      <c r="B344" s="246"/>
      <c r="C344" s="297"/>
      <c r="D344" s="297"/>
      <c r="E344" s="297"/>
      <c r="F344" s="297"/>
      <c r="G344" s="297"/>
      <c r="H344" s="297"/>
      <c r="I344" s="297"/>
      <c r="J344" s="297"/>
      <c r="K344" s="297"/>
      <c r="L344" s="297"/>
      <c r="M344" s="297"/>
      <c r="N344" s="297"/>
      <c r="O344" s="294"/>
      <c r="P344" s="295"/>
      <c r="Q344" s="222"/>
      <c r="R344" s="222"/>
      <c r="S344" s="222"/>
      <c r="T344" s="222"/>
    </row>
    <row r="345" spans="1:20" ht="10.15" customHeight="1">
      <c r="A345" s="319" t="s">
        <v>13</v>
      </c>
      <c r="B345" s="245" t="s">
        <v>40</v>
      </c>
      <c r="C345" s="296">
        <v>0</v>
      </c>
      <c r="D345" s="296">
        <v>0</v>
      </c>
      <c r="E345" s="296">
        <v>0</v>
      </c>
      <c r="F345" s="296">
        <v>0</v>
      </c>
      <c r="G345" s="296">
        <v>0</v>
      </c>
      <c r="H345" s="296">
        <v>0</v>
      </c>
      <c r="I345" s="296">
        <v>0</v>
      </c>
      <c r="J345" s="296">
        <v>0</v>
      </c>
      <c r="K345" s="296">
        <v>0</v>
      </c>
      <c r="L345" s="296">
        <v>0</v>
      </c>
      <c r="M345" s="296">
        <v>0</v>
      </c>
      <c r="N345" s="296">
        <v>0</v>
      </c>
      <c r="O345" s="297">
        <f t="shared" ref="O345:O352" si="78">SUM(C345:N345)</f>
        <v>0</v>
      </c>
      <c r="P345" s="298">
        <f t="shared" ref="P345:P350" si="79">O345/12</f>
        <v>0</v>
      </c>
      <c r="Q345" s="222"/>
      <c r="R345" s="222"/>
      <c r="S345" s="222"/>
      <c r="T345" s="222"/>
    </row>
    <row r="346" spans="1:20" ht="10.15" customHeight="1">
      <c r="A346" s="319"/>
      <c r="B346" s="245" t="s">
        <v>41</v>
      </c>
      <c r="C346" s="296">
        <v>0</v>
      </c>
      <c r="D346" s="296">
        <v>0</v>
      </c>
      <c r="E346" s="296">
        <v>0</v>
      </c>
      <c r="F346" s="296">
        <v>0</v>
      </c>
      <c r="G346" s="296">
        <v>0</v>
      </c>
      <c r="H346" s="296">
        <v>0</v>
      </c>
      <c r="I346" s="296">
        <v>0</v>
      </c>
      <c r="J346" s="296">
        <v>0</v>
      </c>
      <c r="K346" s="296">
        <v>0</v>
      </c>
      <c r="L346" s="296">
        <v>0</v>
      </c>
      <c r="M346" s="296">
        <v>0</v>
      </c>
      <c r="N346" s="296">
        <v>0</v>
      </c>
      <c r="O346" s="297">
        <f t="shared" si="78"/>
        <v>0</v>
      </c>
      <c r="P346" s="298">
        <f t="shared" si="79"/>
        <v>0</v>
      </c>
      <c r="Q346" s="222"/>
      <c r="R346" s="222"/>
      <c r="S346" s="222"/>
      <c r="T346" s="222"/>
    </row>
    <row r="347" spans="1:20" ht="10.15" customHeight="1">
      <c r="A347" s="319"/>
      <c r="B347" s="245" t="s">
        <v>42</v>
      </c>
      <c r="C347" s="296">
        <v>0</v>
      </c>
      <c r="D347" s="296">
        <v>0</v>
      </c>
      <c r="E347" s="296">
        <v>0</v>
      </c>
      <c r="F347" s="296">
        <v>180</v>
      </c>
      <c r="G347" s="296">
        <v>0</v>
      </c>
      <c r="H347" s="296">
        <v>80</v>
      </c>
      <c r="I347" s="296">
        <v>70</v>
      </c>
      <c r="J347" s="296">
        <v>0</v>
      </c>
      <c r="K347" s="296">
        <v>170</v>
      </c>
      <c r="L347" s="296">
        <v>90</v>
      </c>
      <c r="M347" s="296">
        <v>110</v>
      </c>
      <c r="N347" s="296">
        <v>210</v>
      </c>
      <c r="O347" s="297">
        <f t="shared" si="78"/>
        <v>910</v>
      </c>
      <c r="P347" s="298">
        <f>O347/12</f>
        <v>75.833333333333329</v>
      </c>
      <c r="Q347" s="222"/>
      <c r="R347" s="222"/>
      <c r="S347" s="222"/>
      <c r="T347" s="222"/>
    </row>
    <row r="348" spans="1:20" ht="10.15" customHeight="1">
      <c r="A348" s="319"/>
      <c r="B348" s="245" t="s">
        <v>43</v>
      </c>
      <c r="C348" s="296">
        <v>0</v>
      </c>
      <c r="D348" s="296">
        <v>0</v>
      </c>
      <c r="E348" s="296">
        <v>0</v>
      </c>
      <c r="F348" s="296">
        <v>1431</v>
      </c>
      <c r="G348" s="296">
        <v>0</v>
      </c>
      <c r="H348" s="296">
        <v>0</v>
      </c>
      <c r="I348" s="296">
        <v>3664</v>
      </c>
      <c r="J348" s="296">
        <v>1134</v>
      </c>
      <c r="K348" s="296">
        <v>2649</v>
      </c>
      <c r="L348" s="296">
        <v>1120</v>
      </c>
      <c r="M348" s="296">
        <v>0</v>
      </c>
      <c r="N348" s="296">
        <v>3406</v>
      </c>
      <c r="O348" s="297">
        <f t="shared" si="78"/>
        <v>13404</v>
      </c>
      <c r="P348" s="298">
        <f>O348/12</f>
        <v>1117</v>
      </c>
      <c r="Q348" s="222"/>
      <c r="R348" s="222"/>
      <c r="S348" s="222"/>
      <c r="T348" s="222"/>
    </row>
    <row r="349" spans="1:20" ht="10.15" customHeight="1">
      <c r="A349" s="319"/>
      <c r="B349" s="245" t="s">
        <v>44</v>
      </c>
      <c r="C349" s="296">
        <v>0</v>
      </c>
      <c r="D349" s="296">
        <v>0</v>
      </c>
      <c r="E349" s="296">
        <v>0</v>
      </c>
      <c r="F349" s="296">
        <v>0</v>
      </c>
      <c r="G349" s="296">
        <v>0</v>
      </c>
      <c r="H349" s="296">
        <v>0</v>
      </c>
      <c r="I349" s="296">
        <v>0</v>
      </c>
      <c r="J349" s="296">
        <v>0</v>
      </c>
      <c r="K349" s="296">
        <v>0</v>
      </c>
      <c r="L349" s="296">
        <v>0</v>
      </c>
      <c r="M349" s="296">
        <v>0</v>
      </c>
      <c r="N349" s="296">
        <v>0</v>
      </c>
      <c r="O349" s="297">
        <f t="shared" si="78"/>
        <v>0</v>
      </c>
      <c r="P349" s="298">
        <f t="shared" si="79"/>
        <v>0</v>
      </c>
      <c r="Q349" s="222"/>
      <c r="R349" s="222"/>
      <c r="S349" s="222"/>
      <c r="T349" s="222"/>
    </row>
    <row r="350" spans="1:20" ht="10.15" customHeight="1">
      <c r="A350" s="319"/>
      <c r="B350" s="245" t="s">
        <v>45</v>
      </c>
      <c r="C350" s="296">
        <v>0</v>
      </c>
      <c r="D350" s="296">
        <v>0</v>
      </c>
      <c r="E350" s="296">
        <v>0</v>
      </c>
      <c r="F350" s="296">
        <v>0</v>
      </c>
      <c r="G350" s="296">
        <v>0</v>
      </c>
      <c r="H350" s="296">
        <v>0</v>
      </c>
      <c r="I350" s="296">
        <v>0</v>
      </c>
      <c r="J350" s="296">
        <v>0</v>
      </c>
      <c r="K350" s="296">
        <v>0</v>
      </c>
      <c r="L350" s="296">
        <v>0</v>
      </c>
      <c r="M350" s="296">
        <v>0</v>
      </c>
      <c r="N350" s="296">
        <v>0</v>
      </c>
      <c r="O350" s="297">
        <f t="shared" si="78"/>
        <v>0</v>
      </c>
      <c r="P350" s="298">
        <f t="shared" si="79"/>
        <v>0</v>
      </c>
      <c r="Q350" s="222"/>
      <c r="R350" s="222"/>
      <c r="S350" s="222"/>
      <c r="T350" s="222"/>
    </row>
    <row r="351" spans="1:20" ht="10.15" customHeight="1">
      <c r="A351" s="319"/>
      <c r="B351" s="245" t="s">
        <v>46</v>
      </c>
      <c r="C351" s="296">
        <v>2862</v>
      </c>
      <c r="D351" s="296">
        <v>937</v>
      </c>
      <c r="E351" s="296">
        <v>1260</v>
      </c>
      <c r="F351" s="296">
        <v>2339</v>
      </c>
      <c r="G351" s="296">
        <v>2987</v>
      </c>
      <c r="H351" s="296">
        <v>2143</v>
      </c>
      <c r="I351" s="296">
        <v>3123</v>
      </c>
      <c r="J351" s="296">
        <v>3251</v>
      </c>
      <c r="K351" s="296">
        <v>9922</v>
      </c>
      <c r="L351" s="296">
        <v>7899</v>
      </c>
      <c r="M351" s="296">
        <v>6234</v>
      </c>
      <c r="N351" s="296">
        <v>11319</v>
      </c>
      <c r="O351" s="297">
        <f t="shared" si="78"/>
        <v>54276</v>
      </c>
      <c r="P351" s="298">
        <f>O351/12</f>
        <v>4523</v>
      </c>
      <c r="Q351" s="222"/>
      <c r="R351" s="222"/>
      <c r="S351" s="222"/>
      <c r="T351" s="222"/>
    </row>
    <row r="352" spans="1:20" ht="10.15" customHeight="1">
      <c r="A352" s="319" t="s">
        <v>27</v>
      </c>
      <c r="B352" s="320"/>
      <c r="C352" s="285">
        <f t="shared" ref="C352:N352" si="80">SUM(C345:C351)</f>
        <v>2862</v>
      </c>
      <c r="D352" s="285">
        <f t="shared" si="80"/>
        <v>937</v>
      </c>
      <c r="E352" s="285">
        <f t="shared" si="80"/>
        <v>1260</v>
      </c>
      <c r="F352" s="285">
        <f t="shared" si="80"/>
        <v>3950</v>
      </c>
      <c r="G352" s="285">
        <f t="shared" si="80"/>
        <v>2987</v>
      </c>
      <c r="H352" s="285">
        <f t="shared" si="80"/>
        <v>2223</v>
      </c>
      <c r="I352" s="285">
        <f t="shared" si="80"/>
        <v>6857</v>
      </c>
      <c r="J352" s="285">
        <f t="shared" si="80"/>
        <v>4385</v>
      </c>
      <c r="K352" s="285">
        <f t="shared" si="80"/>
        <v>12741</v>
      </c>
      <c r="L352" s="285">
        <f t="shared" si="80"/>
        <v>9109</v>
      </c>
      <c r="M352" s="285">
        <f t="shared" si="80"/>
        <v>6344</v>
      </c>
      <c r="N352" s="285">
        <f t="shared" si="80"/>
        <v>14935</v>
      </c>
      <c r="O352" s="294">
        <f t="shared" si="78"/>
        <v>68590</v>
      </c>
      <c r="P352" s="295">
        <f>O352/12</f>
        <v>5715.833333333333</v>
      </c>
      <c r="Q352" s="222"/>
      <c r="R352" s="222"/>
      <c r="S352" s="222"/>
      <c r="T352" s="222"/>
    </row>
    <row r="353" spans="1:20" ht="10.15" customHeight="1">
      <c r="A353" s="306"/>
      <c r="B353" s="307"/>
      <c r="C353" s="285"/>
      <c r="D353" s="299"/>
      <c r="E353" s="285"/>
      <c r="F353" s="285"/>
      <c r="G353" s="285"/>
      <c r="H353" s="285"/>
      <c r="I353" s="285"/>
      <c r="J353" s="285"/>
      <c r="K353" s="285"/>
      <c r="L353" s="285"/>
      <c r="M353" s="285"/>
      <c r="N353" s="285"/>
      <c r="O353" s="300"/>
      <c r="P353" s="301"/>
      <c r="Q353" s="222"/>
      <c r="R353" s="222"/>
      <c r="S353" s="222"/>
      <c r="T353" s="222"/>
    </row>
    <row r="354" spans="1:20" s="312" customFormat="1" ht="10.15" customHeight="1">
      <c r="A354" s="321" t="s">
        <v>47</v>
      </c>
      <c r="B354" s="322"/>
      <c r="C354" s="302">
        <f t="shared" ref="C354:N354" si="81">C352+C343+C338+C334+C328</f>
        <v>2862</v>
      </c>
      <c r="D354" s="302">
        <f t="shared" si="81"/>
        <v>937</v>
      </c>
      <c r="E354" s="302">
        <f t="shared" si="81"/>
        <v>1260</v>
      </c>
      <c r="F354" s="302">
        <f t="shared" si="81"/>
        <v>5962</v>
      </c>
      <c r="G354" s="302">
        <f t="shared" si="81"/>
        <v>5782</v>
      </c>
      <c r="H354" s="302">
        <f t="shared" si="81"/>
        <v>6423</v>
      </c>
      <c r="I354" s="302">
        <f t="shared" si="81"/>
        <v>14156</v>
      </c>
      <c r="J354" s="302">
        <f t="shared" si="81"/>
        <v>6605</v>
      </c>
      <c r="K354" s="302">
        <f t="shared" si="81"/>
        <v>26198</v>
      </c>
      <c r="L354" s="302">
        <f t="shared" si="81"/>
        <v>14262.6</v>
      </c>
      <c r="M354" s="302">
        <f t="shared" si="81"/>
        <v>13139</v>
      </c>
      <c r="N354" s="302">
        <f t="shared" si="81"/>
        <v>24205</v>
      </c>
      <c r="O354" s="302">
        <f>SUM(C354:N354)</f>
        <v>121791.6</v>
      </c>
      <c r="P354" s="303">
        <f>O354/12</f>
        <v>10149.300000000001</v>
      </c>
      <c r="Q354" s="222"/>
      <c r="R354" s="222"/>
      <c r="S354" s="222"/>
      <c r="T354" s="222"/>
    </row>
    <row r="355" spans="1:20" ht="10.15" customHeight="1">
      <c r="A355" s="317"/>
      <c r="B355" s="318"/>
      <c r="C355" s="285"/>
      <c r="D355" s="285"/>
      <c r="E355" s="285"/>
      <c r="F355" s="285"/>
      <c r="G355" s="285"/>
      <c r="H355" s="285"/>
      <c r="I355" s="285"/>
      <c r="J355" s="285"/>
      <c r="K355" s="285"/>
      <c r="L355" s="285"/>
      <c r="M355" s="285"/>
      <c r="N355" s="285"/>
      <c r="O355" s="285"/>
      <c r="P355" s="286"/>
      <c r="Q355" s="222"/>
      <c r="R355" s="222"/>
      <c r="S355" s="222"/>
      <c r="T355" s="222"/>
    </row>
    <row r="356" spans="1:20" ht="10.15" customHeight="1">
      <c r="A356" s="315" t="s">
        <v>48</v>
      </c>
      <c r="B356" s="316"/>
      <c r="C356" s="285"/>
      <c r="D356" s="285"/>
      <c r="E356" s="285"/>
      <c r="F356" s="285"/>
      <c r="G356" s="285"/>
      <c r="H356" s="285"/>
      <c r="I356" s="285"/>
      <c r="J356" s="285"/>
      <c r="K356" s="285"/>
      <c r="L356" s="285"/>
      <c r="M356" s="285"/>
      <c r="N356" s="285"/>
      <c r="O356" s="285"/>
      <c r="P356" s="286"/>
      <c r="Q356" s="222"/>
      <c r="R356" s="222"/>
      <c r="S356" s="222"/>
      <c r="T356" s="222"/>
    </row>
    <row r="357" spans="1:20" ht="10.15" customHeight="1">
      <c r="A357" s="317"/>
      <c r="B357" s="318"/>
      <c r="C357" s="285"/>
      <c r="D357" s="285"/>
      <c r="E357" s="285"/>
      <c r="F357" s="285"/>
      <c r="G357" s="285"/>
      <c r="H357" s="285"/>
      <c r="I357" s="285"/>
      <c r="J357" s="285"/>
      <c r="K357" s="285"/>
      <c r="L357" s="285"/>
      <c r="M357" s="285"/>
      <c r="N357" s="285"/>
      <c r="O357" s="285"/>
      <c r="P357" s="286"/>
      <c r="Q357" s="222"/>
      <c r="R357" s="222"/>
      <c r="S357" s="222"/>
      <c r="T357" s="222"/>
    </row>
    <row r="358" spans="1:20" ht="10.15" customHeight="1" thickBot="1">
      <c r="A358" s="315" t="s">
        <v>6</v>
      </c>
      <c r="B358" s="316"/>
      <c r="C358" s="285">
        <f t="shared" ref="C358:N358" si="82">C316+C354</f>
        <v>6362</v>
      </c>
      <c r="D358" s="285">
        <f t="shared" si="82"/>
        <v>1477</v>
      </c>
      <c r="E358" s="285">
        <f t="shared" si="82"/>
        <v>3260</v>
      </c>
      <c r="F358" s="285">
        <f t="shared" si="82"/>
        <v>12211</v>
      </c>
      <c r="G358" s="285">
        <f t="shared" si="82"/>
        <v>10482</v>
      </c>
      <c r="H358" s="285">
        <f t="shared" si="82"/>
        <v>15283</v>
      </c>
      <c r="I358" s="285">
        <f t="shared" si="82"/>
        <v>26516</v>
      </c>
      <c r="J358" s="285">
        <f t="shared" si="82"/>
        <v>19525</v>
      </c>
      <c r="K358" s="285">
        <f t="shared" si="82"/>
        <v>45665</v>
      </c>
      <c r="L358" s="285">
        <f t="shared" si="82"/>
        <v>33449.599999999999</v>
      </c>
      <c r="M358" s="285">
        <f t="shared" si="82"/>
        <v>27139</v>
      </c>
      <c r="N358" s="285">
        <f t="shared" si="82"/>
        <v>41535</v>
      </c>
      <c r="O358" s="285">
        <f>SUM(C358:N358)</f>
        <v>242904.6</v>
      </c>
      <c r="P358" s="286">
        <f>O358/12</f>
        <v>20242.05</v>
      </c>
      <c r="Q358" s="222"/>
      <c r="R358" s="222"/>
      <c r="S358" s="222"/>
      <c r="T358" s="222"/>
    </row>
    <row r="359" spans="1:20" ht="7.9" customHeight="1">
      <c r="A359" s="239"/>
      <c r="B359" s="240"/>
      <c r="C359" s="240"/>
      <c r="D359" s="240"/>
      <c r="E359" s="240"/>
      <c r="F359" s="240"/>
      <c r="G359" s="240"/>
      <c r="H359" s="240"/>
      <c r="I359" s="240"/>
      <c r="J359" s="240"/>
      <c r="K359" s="240"/>
      <c r="L359" s="240"/>
      <c r="M359" s="240"/>
      <c r="N359" s="240"/>
      <c r="O359" s="247"/>
      <c r="P359" s="248"/>
    </row>
    <row r="360" spans="1:20" ht="7.9" customHeight="1">
      <c r="A360" s="241"/>
      <c r="P360" s="250"/>
    </row>
    <row r="361" spans="1:20" ht="7.9" customHeight="1">
      <c r="A361" s="241"/>
      <c r="P361" s="250"/>
    </row>
    <row r="362" spans="1:20" ht="7.9" customHeight="1">
      <c r="A362" s="329" t="s">
        <v>0</v>
      </c>
      <c r="B362" s="330"/>
      <c r="C362" s="330"/>
      <c r="D362" s="330"/>
      <c r="E362" s="330"/>
      <c r="F362" s="330"/>
      <c r="G362" s="330"/>
      <c r="H362" s="330"/>
      <c r="I362" s="330"/>
      <c r="J362" s="330"/>
      <c r="K362" s="330"/>
      <c r="L362" s="330"/>
      <c r="M362" s="330"/>
      <c r="N362" s="330"/>
      <c r="O362" s="330"/>
      <c r="P362" s="331"/>
    </row>
    <row r="363" spans="1:20" ht="7.9" customHeight="1">
      <c r="A363" s="242"/>
      <c r="B363" s="222"/>
      <c r="C363" s="222"/>
      <c r="D363" s="222"/>
      <c r="E363" s="222"/>
      <c r="F363" s="222"/>
      <c r="G363" s="222"/>
      <c r="H363" s="222"/>
      <c r="I363" s="222"/>
      <c r="J363" s="222"/>
      <c r="K363" s="222"/>
      <c r="L363" s="222"/>
      <c r="M363" s="222"/>
      <c r="N363" s="222"/>
      <c r="O363" s="244"/>
      <c r="P363" s="304"/>
    </row>
    <row r="364" spans="1:20" ht="7.9" customHeight="1">
      <c r="A364" s="329" t="s">
        <v>53</v>
      </c>
      <c r="B364" s="330"/>
      <c r="C364" s="330"/>
      <c r="D364" s="330"/>
      <c r="E364" s="330"/>
      <c r="F364" s="330"/>
      <c r="G364" s="330"/>
      <c r="H364" s="330"/>
      <c r="I364" s="330"/>
      <c r="J364" s="330"/>
      <c r="K364" s="330"/>
      <c r="L364" s="330"/>
      <c r="M364" s="330"/>
      <c r="N364" s="330"/>
      <c r="O364" s="330"/>
      <c r="P364" s="331"/>
    </row>
    <row r="365" spans="1:20" ht="7.9" customHeight="1">
      <c r="A365" s="243"/>
      <c r="B365" s="244"/>
      <c r="C365" s="244"/>
      <c r="D365" s="244"/>
      <c r="E365" s="244"/>
      <c r="F365" s="244"/>
      <c r="G365" s="244"/>
      <c r="H365" s="244"/>
      <c r="I365" s="244"/>
      <c r="J365" s="244"/>
      <c r="K365" s="244"/>
      <c r="L365" s="244"/>
      <c r="M365" s="244"/>
      <c r="N365" s="244"/>
      <c r="O365" s="244"/>
      <c r="P365" s="251"/>
    </row>
    <row r="366" spans="1:20" ht="7.9" customHeight="1">
      <c r="A366" s="241"/>
      <c r="P366" s="250"/>
    </row>
    <row r="367" spans="1:20" ht="7.9" customHeight="1">
      <c r="A367" s="241"/>
      <c r="P367" s="250"/>
    </row>
    <row r="368" spans="1:20" ht="7.9" customHeight="1">
      <c r="A368" s="241"/>
      <c r="P368" s="250"/>
    </row>
    <row r="369" spans="1:17" ht="10.15" customHeight="1">
      <c r="A369" s="315"/>
      <c r="B369" s="316"/>
      <c r="C369" s="252">
        <v>44301</v>
      </c>
      <c r="D369" s="252">
        <v>44331</v>
      </c>
      <c r="E369" s="252">
        <v>44362</v>
      </c>
      <c r="F369" s="252">
        <v>44392</v>
      </c>
      <c r="G369" s="252">
        <v>44423</v>
      </c>
      <c r="H369" s="252">
        <v>44454</v>
      </c>
      <c r="I369" s="252">
        <v>44484</v>
      </c>
      <c r="J369" s="252">
        <v>44515</v>
      </c>
      <c r="K369" s="252">
        <v>44545</v>
      </c>
      <c r="L369" s="252">
        <v>44576</v>
      </c>
      <c r="M369" s="252">
        <v>44607</v>
      </c>
      <c r="N369" s="252">
        <v>44635</v>
      </c>
      <c r="O369" s="307" t="s">
        <v>2</v>
      </c>
      <c r="P369" s="253" t="s">
        <v>3</v>
      </c>
    </row>
    <row r="370" spans="1:17" ht="10.15" customHeight="1">
      <c r="A370" s="332"/>
      <c r="B370" s="333"/>
      <c r="C370" s="254"/>
      <c r="D370" s="254"/>
      <c r="E370" s="254"/>
      <c r="F370" s="254"/>
      <c r="G370" s="254"/>
      <c r="H370" s="254"/>
      <c r="I370" s="254"/>
      <c r="J370" s="254"/>
      <c r="K370" s="254"/>
      <c r="L370" s="254"/>
      <c r="M370" s="254"/>
      <c r="N370" s="254"/>
      <c r="O370" s="255"/>
      <c r="P370" s="256"/>
    </row>
    <row r="371" spans="1:17" s="310" customFormat="1" ht="10.15" customHeight="1">
      <c r="A371" s="317" t="s">
        <v>4</v>
      </c>
      <c r="B371" s="318"/>
      <c r="C371" s="282">
        <f t="shared" ref="C371:J371" si="83">C426/C430</f>
        <v>0.50516431690455565</v>
      </c>
      <c r="D371" s="282">
        <f t="shared" si="83"/>
        <v>0.56557102530979375</v>
      </c>
      <c r="E371" s="282">
        <f t="shared" si="83"/>
        <v>0.61243959856275554</v>
      </c>
      <c r="F371" s="282">
        <f t="shared" si="83"/>
        <v>0.69862135299775574</v>
      </c>
      <c r="G371" s="282">
        <f t="shared" si="83"/>
        <v>0.63566204513842151</v>
      </c>
      <c r="H371" s="282">
        <f t="shared" si="83"/>
        <v>0.60359743877999905</v>
      </c>
      <c r="I371" s="282">
        <f t="shared" si="83"/>
        <v>0.64039928079856157</v>
      </c>
      <c r="J371" s="282">
        <f t="shared" si="83"/>
        <v>0.55809694917596653</v>
      </c>
      <c r="K371" s="282">
        <f>K426/K430</f>
        <v>0.62785141623211049</v>
      </c>
      <c r="L371" s="282">
        <f>L426/L430</f>
        <v>0.5927476621723814</v>
      </c>
      <c r="M371" s="282">
        <f>M426/M430</f>
        <v>0.60004619293248129</v>
      </c>
      <c r="N371" s="282">
        <f>N426/N430</f>
        <v>0.62034267065542559</v>
      </c>
      <c r="O371" s="283">
        <f>AVERAGE(C371:N371)</f>
        <v>0.60504499580501725</v>
      </c>
      <c r="P371" s="284">
        <f>AVERAGE(C371:N371)</f>
        <v>0.60504499580501725</v>
      </c>
      <c r="Q371" s="313"/>
    </row>
    <row r="372" spans="1:17" s="310" customFormat="1" ht="10.15" customHeight="1">
      <c r="A372" s="317" t="s">
        <v>5</v>
      </c>
      <c r="B372" s="318"/>
      <c r="C372" s="282">
        <f t="shared" ref="C372:J372" si="84">C388/C374</f>
        <v>0.4948356830954444</v>
      </c>
      <c r="D372" s="282">
        <f t="shared" si="84"/>
        <v>0.43442897469020619</v>
      </c>
      <c r="E372" s="282">
        <f t="shared" si="84"/>
        <v>0.38756040143724446</v>
      </c>
      <c r="F372" s="282">
        <f t="shared" si="84"/>
        <v>0.30137864700224432</v>
      </c>
      <c r="G372" s="282">
        <f t="shared" si="84"/>
        <v>0.36433795486157849</v>
      </c>
      <c r="H372" s="282">
        <f t="shared" si="84"/>
        <v>0.396402561220001</v>
      </c>
      <c r="I372" s="282">
        <f t="shared" si="84"/>
        <v>0.35960071920143838</v>
      </c>
      <c r="J372" s="282">
        <f t="shared" si="84"/>
        <v>0.44190305082403347</v>
      </c>
      <c r="K372" s="282">
        <f>K388/K374</f>
        <v>0.37214858376788956</v>
      </c>
      <c r="L372" s="282">
        <f>L388/L374</f>
        <v>0.40725233782761866</v>
      </c>
      <c r="M372" s="282">
        <f>M388/M374</f>
        <v>0.39995380706751865</v>
      </c>
      <c r="N372" s="282">
        <f>N388/N374</f>
        <v>0.37965732934457436</v>
      </c>
      <c r="O372" s="283">
        <f>AVERAGE(C372:N372)</f>
        <v>0.3949550041949827</v>
      </c>
      <c r="P372" s="284">
        <f>AVERAGE(C372:N372)</f>
        <v>0.3949550041949827</v>
      </c>
    </row>
    <row r="373" spans="1:17" ht="10.15" customHeight="1">
      <c r="A373" s="306"/>
      <c r="B373" s="307"/>
      <c r="C373" s="255"/>
      <c r="D373" s="255"/>
      <c r="E373" s="255"/>
      <c r="F373" s="255"/>
      <c r="G373" s="255"/>
      <c r="H373" s="255"/>
      <c r="I373" s="255"/>
      <c r="J373" s="255"/>
      <c r="K373" s="255"/>
      <c r="L373" s="255"/>
      <c r="M373" s="255"/>
      <c r="N373" s="255"/>
      <c r="O373" s="255"/>
      <c r="P373" s="256"/>
    </row>
    <row r="374" spans="1:17" s="314" customFormat="1" ht="10.15" customHeight="1">
      <c r="A374" s="317" t="s">
        <v>6</v>
      </c>
      <c r="B374" s="318"/>
      <c r="C374" s="285">
        <f t="shared" ref="C374:N374" si="85">C430</f>
        <v>40053.699999999997</v>
      </c>
      <c r="D374" s="285">
        <f t="shared" si="85"/>
        <v>41802</v>
      </c>
      <c r="E374" s="285">
        <f t="shared" si="85"/>
        <v>40355</v>
      </c>
      <c r="F374" s="285">
        <f t="shared" si="85"/>
        <v>21833</v>
      </c>
      <c r="G374" s="285">
        <f t="shared" si="85"/>
        <v>22287</v>
      </c>
      <c r="H374" s="285">
        <f t="shared" si="85"/>
        <v>40918</v>
      </c>
      <c r="I374" s="285">
        <f t="shared" si="85"/>
        <v>48387</v>
      </c>
      <c r="J374" s="285">
        <f t="shared" si="85"/>
        <v>57886</v>
      </c>
      <c r="K374" s="285">
        <f t="shared" si="85"/>
        <v>43531</v>
      </c>
      <c r="L374" s="285">
        <f t="shared" si="85"/>
        <v>54217</v>
      </c>
      <c r="M374" s="285">
        <f t="shared" si="85"/>
        <v>51956</v>
      </c>
      <c r="N374" s="285">
        <f t="shared" si="85"/>
        <v>55155</v>
      </c>
      <c r="O374" s="285">
        <f>SUM(C374:N374)</f>
        <v>518380.7</v>
      </c>
      <c r="P374" s="286">
        <f>O374/12</f>
        <v>43198.39166666667</v>
      </c>
    </row>
    <row r="375" spans="1:17" ht="10.15" customHeight="1">
      <c r="A375" s="317"/>
      <c r="B375" s="318"/>
      <c r="C375" s="255"/>
      <c r="D375" s="255"/>
      <c r="E375" s="255"/>
      <c r="F375" s="255"/>
      <c r="G375" s="255"/>
      <c r="H375" s="255"/>
      <c r="I375" s="255"/>
      <c r="J375" s="255"/>
      <c r="K375" s="255"/>
      <c r="L375" s="255"/>
      <c r="M375" s="255"/>
      <c r="N375" s="255"/>
      <c r="O375" s="255"/>
      <c r="P375" s="256"/>
    </row>
    <row r="376" spans="1:17" ht="10.15" customHeight="1">
      <c r="A376" s="327" t="s">
        <v>7</v>
      </c>
      <c r="B376" s="328"/>
      <c r="C376" s="252"/>
      <c r="D376" s="252"/>
      <c r="E376" s="252"/>
      <c r="F376" s="252"/>
      <c r="G376" s="252"/>
      <c r="H376" s="252"/>
      <c r="I376" s="252"/>
      <c r="J376" s="252"/>
      <c r="K376" s="252"/>
      <c r="L376" s="252"/>
      <c r="M376" s="252"/>
      <c r="N376" s="252"/>
      <c r="O376" s="285"/>
      <c r="P376" s="286"/>
    </row>
    <row r="377" spans="1:17" ht="10.15" customHeight="1">
      <c r="A377" s="315"/>
      <c r="B377" s="316"/>
      <c r="C377" s="255"/>
      <c r="D377" s="255"/>
      <c r="E377" s="255"/>
      <c r="F377" s="255"/>
      <c r="G377" s="255"/>
      <c r="H377" s="255"/>
      <c r="I377" s="255"/>
      <c r="J377" s="255"/>
      <c r="K377" s="255"/>
      <c r="L377" s="255"/>
      <c r="M377" s="255"/>
      <c r="N377" s="255"/>
      <c r="O377" s="255"/>
      <c r="P377" s="256"/>
    </row>
    <row r="378" spans="1:17" s="310" customFormat="1" ht="10.15" customHeight="1">
      <c r="A378" s="323" t="s">
        <v>8</v>
      </c>
      <c r="B378" s="324"/>
      <c r="C378" s="255"/>
      <c r="D378" s="255"/>
      <c r="E378" s="255"/>
      <c r="F378" s="255"/>
      <c r="G378" s="255"/>
      <c r="H378" s="255"/>
      <c r="I378" s="255"/>
      <c r="J378" s="255"/>
      <c r="K378" s="255"/>
      <c r="L378" s="255"/>
      <c r="M378" s="255"/>
      <c r="N378" s="255"/>
      <c r="O378" s="255"/>
      <c r="P378" s="256"/>
    </row>
    <row r="379" spans="1:17" s="310" customFormat="1" ht="10.15" customHeight="1">
      <c r="A379" s="323" t="s">
        <v>9</v>
      </c>
      <c r="B379" s="324"/>
      <c r="C379" s="287">
        <v>16800</v>
      </c>
      <c r="D379" s="287">
        <v>17600</v>
      </c>
      <c r="E379" s="287">
        <v>15140</v>
      </c>
      <c r="F379" s="287">
        <v>6060</v>
      </c>
      <c r="G379" s="287">
        <v>7600</v>
      </c>
      <c r="H379" s="287">
        <v>15620</v>
      </c>
      <c r="I379" s="287">
        <v>16480</v>
      </c>
      <c r="J379" s="287">
        <v>24120</v>
      </c>
      <c r="K379" s="287">
        <v>16200</v>
      </c>
      <c r="L379" s="287">
        <v>21620</v>
      </c>
      <c r="M379" s="287">
        <v>19580</v>
      </c>
      <c r="N379" s="287">
        <v>19400</v>
      </c>
      <c r="O379" s="287">
        <f>SUM(C379:N379)</f>
        <v>196220</v>
      </c>
      <c r="P379" s="288">
        <f>O379/12</f>
        <v>16351.666666666666</v>
      </c>
    </row>
    <row r="380" spans="1:17" ht="10.15" customHeight="1">
      <c r="A380" s="323"/>
      <c r="B380" s="324"/>
      <c r="C380" s="287"/>
      <c r="D380" s="287"/>
      <c r="E380" s="287"/>
      <c r="F380" s="287"/>
      <c r="G380" s="287"/>
      <c r="H380" s="287"/>
      <c r="I380" s="287"/>
      <c r="J380" s="287"/>
      <c r="K380" s="287"/>
      <c r="L380" s="287"/>
      <c r="M380" s="287"/>
      <c r="N380" s="287"/>
      <c r="O380" s="287"/>
      <c r="P380" s="288"/>
    </row>
    <row r="381" spans="1:17" s="310" customFormat="1" ht="10.15" customHeight="1">
      <c r="A381" s="323" t="s">
        <v>10</v>
      </c>
      <c r="B381" s="324"/>
      <c r="C381" s="287"/>
      <c r="D381" s="287"/>
      <c r="E381" s="287"/>
      <c r="F381" s="287"/>
      <c r="G381" s="287"/>
      <c r="H381" s="287"/>
      <c r="I381" s="287"/>
      <c r="J381" s="287"/>
      <c r="K381" s="287"/>
      <c r="L381" s="287"/>
      <c r="M381" s="287"/>
      <c r="N381" s="287"/>
      <c r="O381" s="287"/>
      <c r="P381" s="288"/>
    </row>
    <row r="382" spans="1:17" s="310" customFormat="1" ht="10.15" customHeight="1">
      <c r="A382" s="323" t="s">
        <v>11</v>
      </c>
      <c r="B382" s="324"/>
      <c r="C382" s="289">
        <v>0</v>
      </c>
      <c r="D382" s="289">
        <v>560</v>
      </c>
      <c r="E382" s="289">
        <v>500</v>
      </c>
      <c r="F382" s="289">
        <v>520</v>
      </c>
      <c r="G382" s="289">
        <v>520</v>
      </c>
      <c r="H382" s="289">
        <v>600</v>
      </c>
      <c r="I382" s="289">
        <v>920</v>
      </c>
      <c r="J382" s="289">
        <v>1460</v>
      </c>
      <c r="K382" s="289">
        <v>0</v>
      </c>
      <c r="L382" s="305">
        <v>460</v>
      </c>
      <c r="M382" s="289">
        <v>1200</v>
      </c>
      <c r="N382" s="289">
        <v>1540</v>
      </c>
      <c r="O382" s="287">
        <f>SUM(C382:N382)</f>
        <v>8280</v>
      </c>
      <c r="P382" s="288">
        <f>O382/12</f>
        <v>690</v>
      </c>
    </row>
    <row r="383" spans="1:17" s="310" customFormat="1" ht="10.15" customHeight="1">
      <c r="A383" s="323" t="s">
        <v>12</v>
      </c>
      <c r="B383" s="324"/>
      <c r="C383" s="289">
        <v>0</v>
      </c>
      <c r="D383" s="289">
        <v>0</v>
      </c>
      <c r="E383" s="289">
        <v>0</v>
      </c>
      <c r="F383" s="289">
        <v>0</v>
      </c>
      <c r="G383" s="289">
        <v>0</v>
      </c>
      <c r="H383" s="289">
        <v>0</v>
      </c>
      <c r="I383" s="289">
        <v>0</v>
      </c>
      <c r="J383" s="289">
        <v>0</v>
      </c>
      <c r="K383" s="289">
        <v>0</v>
      </c>
      <c r="L383" s="289">
        <v>0</v>
      </c>
      <c r="M383" s="289"/>
      <c r="N383" s="289"/>
      <c r="O383" s="287">
        <f>SUM(C383:N383)</f>
        <v>0</v>
      </c>
      <c r="P383" s="288">
        <f>O383/12</f>
        <v>0</v>
      </c>
    </row>
    <row r="384" spans="1:17" s="310" customFormat="1" ht="10.15" customHeight="1">
      <c r="A384" s="323" t="s">
        <v>54</v>
      </c>
      <c r="B384" s="324"/>
      <c r="C384" s="289">
        <v>3020</v>
      </c>
      <c r="D384" s="289">
        <v>0</v>
      </c>
      <c r="E384" s="289">
        <v>0</v>
      </c>
      <c r="F384" s="289">
        <v>0</v>
      </c>
      <c r="G384" s="289">
        <v>0</v>
      </c>
      <c r="H384" s="289">
        <v>0</v>
      </c>
      <c r="I384" s="289">
        <v>0</v>
      </c>
      <c r="J384" s="289">
        <v>0</v>
      </c>
      <c r="K384" s="289">
        <v>0</v>
      </c>
      <c r="L384" s="289">
        <v>0</v>
      </c>
      <c r="M384" s="289"/>
      <c r="N384" s="289"/>
      <c r="O384" s="287">
        <f>SUM(C384:N384)</f>
        <v>3020</v>
      </c>
      <c r="P384" s="288">
        <f>O384/12</f>
        <v>251.66666666666666</v>
      </c>
    </row>
    <row r="385" spans="1:20" s="310" customFormat="1" ht="10.15" customHeight="1">
      <c r="A385" s="323" t="s">
        <v>14</v>
      </c>
      <c r="B385" s="324"/>
      <c r="C385" s="289">
        <v>0</v>
      </c>
      <c r="D385" s="289">
        <v>0</v>
      </c>
      <c r="E385" s="289">
        <v>0</v>
      </c>
      <c r="F385" s="289">
        <v>0</v>
      </c>
      <c r="G385" s="289">
        <v>0</v>
      </c>
      <c r="H385" s="289">
        <v>0</v>
      </c>
      <c r="I385" s="289">
        <v>0</v>
      </c>
      <c r="J385" s="289">
        <v>0</v>
      </c>
      <c r="K385" s="289">
        <v>0</v>
      </c>
      <c r="L385" s="289">
        <v>0</v>
      </c>
      <c r="M385" s="289"/>
      <c r="N385" s="289"/>
      <c r="O385" s="287">
        <f>SUM(C385:N385)</f>
        <v>0</v>
      </c>
      <c r="P385" s="288">
        <f>O385/12</f>
        <v>0</v>
      </c>
    </row>
    <row r="386" spans="1:20" s="310" customFormat="1" ht="10.15" customHeight="1">
      <c r="A386" s="323" t="s">
        <v>15</v>
      </c>
      <c r="B386" s="324"/>
      <c r="C386" s="290">
        <f t="shared" ref="C386:J386" si="86">SUM(C382:C385)</f>
        <v>3020</v>
      </c>
      <c r="D386" s="290">
        <f t="shared" si="86"/>
        <v>560</v>
      </c>
      <c r="E386" s="290">
        <f t="shared" si="86"/>
        <v>500</v>
      </c>
      <c r="F386" s="290">
        <f t="shared" si="86"/>
        <v>520</v>
      </c>
      <c r="G386" s="290">
        <f t="shared" si="86"/>
        <v>520</v>
      </c>
      <c r="H386" s="290">
        <f t="shared" si="86"/>
        <v>600</v>
      </c>
      <c r="I386" s="290">
        <f t="shared" si="86"/>
        <v>920</v>
      </c>
      <c r="J386" s="290">
        <f t="shared" si="86"/>
        <v>1460</v>
      </c>
      <c r="K386" s="290">
        <f t="shared" ref="K386" si="87">SUM(K382:K385)</f>
        <v>0</v>
      </c>
      <c r="L386" s="290">
        <f>SUM(L382:L385)</f>
        <v>460</v>
      </c>
      <c r="M386" s="290">
        <f>SUM(M382:M385)</f>
        <v>1200</v>
      </c>
      <c r="N386" s="290">
        <f>SUM(N382:N385)</f>
        <v>1540</v>
      </c>
      <c r="O386" s="290">
        <f>SUM(C386:N386)</f>
        <v>11300</v>
      </c>
      <c r="P386" s="291">
        <f>O386/12</f>
        <v>941.66666666666663</v>
      </c>
    </row>
    <row r="387" spans="1:20" ht="10.15" customHeight="1">
      <c r="A387" s="317"/>
      <c r="B387" s="318"/>
      <c r="C387" s="255"/>
      <c r="D387" s="255"/>
      <c r="E387" s="255"/>
      <c r="F387" s="255"/>
      <c r="G387" s="255"/>
      <c r="H387" s="255"/>
      <c r="I387" s="255"/>
      <c r="J387" s="255"/>
      <c r="K387" s="255"/>
      <c r="L387" s="255"/>
      <c r="M387" s="255"/>
      <c r="N387" s="255"/>
      <c r="O387" s="255"/>
      <c r="P387" s="256"/>
    </row>
    <row r="388" spans="1:20" ht="10.15" customHeight="1">
      <c r="A388" s="325" t="s">
        <v>16</v>
      </c>
      <c r="B388" s="326"/>
      <c r="C388" s="290">
        <f t="shared" ref="C388:K388" si="88">C379+C386</f>
        <v>19820</v>
      </c>
      <c r="D388" s="290">
        <f t="shared" si="88"/>
        <v>18160</v>
      </c>
      <c r="E388" s="290">
        <f t="shared" si="88"/>
        <v>15640</v>
      </c>
      <c r="F388" s="290">
        <f t="shared" si="88"/>
        <v>6580</v>
      </c>
      <c r="G388" s="290">
        <f t="shared" si="88"/>
        <v>8120</v>
      </c>
      <c r="H388" s="290">
        <f t="shared" si="88"/>
        <v>16220</v>
      </c>
      <c r="I388" s="290">
        <f t="shared" si="88"/>
        <v>17400</v>
      </c>
      <c r="J388" s="290">
        <f t="shared" si="88"/>
        <v>25580</v>
      </c>
      <c r="K388" s="290">
        <f t="shared" si="88"/>
        <v>16200</v>
      </c>
      <c r="L388" s="290">
        <f>L379+L382</f>
        <v>22080</v>
      </c>
      <c r="M388" s="290">
        <f>M379+M386</f>
        <v>20780</v>
      </c>
      <c r="N388" s="290">
        <f>N379+N386</f>
        <v>20940</v>
      </c>
      <c r="O388" s="290">
        <f>SUM(C388:N388)</f>
        <v>207520</v>
      </c>
      <c r="P388" s="291">
        <f>O388/12</f>
        <v>17293.333333333332</v>
      </c>
    </row>
    <row r="389" spans="1:20" ht="10.15" customHeight="1">
      <c r="A389" s="317"/>
      <c r="B389" s="318"/>
      <c r="C389" s="255"/>
      <c r="D389" s="255"/>
      <c r="E389" s="255"/>
      <c r="F389" s="255"/>
      <c r="G389" s="255"/>
      <c r="H389" s="255"/>
      <c r="I389" s="255"/>
      <c r="J389" s="255"/>
      <c r="K389" s="255"/>
      <c r="L389" s="255"/>
      <c r="M389" s="255"/>
      <c r="N389" s="255"/>
      <c r="O389" s="255"/>
      <c r="P389" s="256"/>
    </row>
    <row r="390" spans="1:20" ht="10.15" customHeight="1">
      <c r="A390" s="321" t="s">
        <v>17</v>
      </c>
      <c r="B390" s="322"/>
      <c r="C390" s="252"/>
      <c r="D390" s="252"/>
      <c r="E390" s="252"/>
      <c r="F390" s="252"/>
      <c r="G390" s="252"/>
      <c r="H390" s="252"/>
      <c r="I390" s="252"/>
      <c r="J390" s="252"/>
      <c r="K390" s="252"/>
      <c r="L390" s="252"/>
      <c r="M390" s="252"/>
      <c r="N390" s="252"/>
      <c r="O390" s="252"/>
      <c r="P390" s="292"/>
    </row>
    <row r="391" spans="1:20" ht="10.15" customHeight="1">
      <c r="A391" s="315"/>
      <c r="B391" s="316"/>
      <c r="C391" s="255"/>
      <c r="D391" s="255"/>
      <c r="E391" s="255"/>
      <c r="F391" s="255"/>
      <c r="G391" s="255"/>
      <c r="H391" s="255"/>
      <c r="I391" s="255"/>
      <c r="J391" s="255"/>
      <c r="K391" s="255"/>
      <c r="L391" s="255"/>
      <c r="M391" s="255"/>
      <c r="N391" s="255"/>
      <c r="O391" s="255"/>
      <c r="P391" s="256"/>
    </row>
    <row r="392" spans="1:20" ht="10.15" customHeight="1">
      <c r="A392" s="319" t="s">
        <v>18</v>
      </c>
      <c r="B392" s="245" t="s">
        <v>19</v>
      </c>
      <c r="C392" s="293">
        <v>0</v>
      </c>
      <c r="D392" s="293">
        <v>1904</v>
      </c>
      <c r="E392" s="293">
        <v>1070</v>
      </c>
      <c r="F392" s="293">
        <v>460</v>
      </c>
      <c r="G392" s="293">
        <v>500</v>
      </c>
      <c r="H392" s="293">
        <v>502</v>
      </c>
      <c r="I392" s="293">
        <v>1480</v>
      </c>
      <c r="J392" s="293">
        <v>740</v>
      </c>
      <c r="K392" s="293">
        <v>1507</v>
      </c>
      <c r="L392" s="293">
        <v>902</v>
      </c>
      <c r="M392" s="293">
        <v>860</v>
      </c>
      <c r="N392" s="293">
        <v>1820</v>
      </c>
      <c r="O392" s="294">
        <f t="shared" ref="O392:O400" si="89">SUM(C392:N392)</f>
        <v>11745</v>
      </c>
      <c r="P392" s="295">
        <f>O392/12</f>
        <v>978.75</v>
      </c>
      <c r="Q392" s="222"/>
      <c r="R392" s="222"/>
      <c r="S392" s="222"/>
      <c r="T392" s="222"/>
    </row>
    <row r="393" spans="1:20" ht="10.15" customHeight="1">
      <c r="A393" s="319"/>
      <c r="B393" s="245" t="s">
        <v>20</v>
      </c>
      <c r="C393" s="293">
        <v>0</v>
      </c>
      <c r="D393" s="293">
        <v>0</v>
      </c>
      <c r="E393" s="293">
        <v>0</v>
      </c>
      <c r="F393" s="293">
        <v>0</v>
      </c>
      <c r="G393" s="293">
        <v>0</v>
      </c>
      <c r="H393" s="293">
        <v>0</v>
      </c>
      <c r="I393" s="293">
        <v>0</v>
      </c>
      <c r="J393" s="293">
        <v>0</v>
      </c>
      <c r="K393" s="293">
        <v>0</v>
      </c>
      <c r="L393" s="293">
        <v>0</v>
      </c>
      <c r="M393" s="293"/>
      <c r="N393" s="293"/>
      <c r="O393" s="294">
        <f t="shared" si="89"/>
        <v>0</v>
      </c>
      <c r="P393" s="295">
        <f t="shared" ref="P393:P399" si="90">O393/12</f>
        <v>0</v>
      </c>
      <c r="Q393" s="222"/>
      <c r="R393" s="222"/>
      <c r="S393" s="222"/>
      <c r="T393" s="222"/>
    </row>
    <row r="394" spans="1:20" ht="10.15" customHeight="1">
      <c r="A394" s="319"/>
      <c r="B394" s="245" t="s">
        <v>21</v>
      </c>
      <c r="C394" s="296">
        <v>0</v>
      </c>
      <c r="D394" s="296">
        <v>0</v>
      </c>
      <c r="E394" s="296">
        <v>0</v>
      </c>
      <c r="F394" s="296">
        <v>0</v>
      </c>
      <c r="G394" s="296">
        <v>0</v>
      </c>
      <c r="H394" s="296">
        <v>0</v>
      </c>
      <c r="I394" s="296">
        <v>0</v>
      </c>
      <c r="J394" s="296">
        <v>0</v>
      </c>
      <c r="K394" s="296">
        <v>0</v>
      </c>
      <c r="L394" s="296">
        <v>0</v>
      </c>
      <c r="M394" s="296"/>
      <c r="N394" s="296"/>
      <c r="O394" s="297">
        <f t="shared" si="89"/>
        <v>0</v>
      </c>
      <c r="P394" s="298">
        <f t="shared" si="90"/>
        <v>0</v>
      </c>
      <c r="Q394" s="222"/>
      <c r="R394" s="222"/>
      <c r="S394" s="222"/>
      <c r="T394" s="222"/>
    </row>
    <row r="395" spans="1:20" ht="10.15" customHeight="1">
      <c r="A395" s="319"/>
      <c r="B395" s="245" t="s">
        <v>22</v>
      </c>
      <c r="C395" s="296">
        <v>0</v>
      </c>
      <c r="D395" s="296">
        <v>0</v>
      </c>
      <c r="E395" s="296">
        <v>950</v>
      </c>
      <c r="F395" s="296">
        <v>560</v>
      </c>
      <c r="G395" s="296">
        <v>620</v>
      </c>
      <c r="H395" s="296">
        <v>1200</v>
      </c>
      <c r="I395" s="296">
        <v>1540</v>
      </c>
      <c r="J395" s="296">
        <v>660</v>
      </c>
      <c r="K395" s="296">
        <v>1340</v>
      </c>
      <c r="L395" s="296">
        <v>672</v>
      </c>
      <c r="M395" s="296">
        <v>920</v>
      </c>
      <c r="N395" s="296">
        <v>1680</v>
      </c>
      <c r="O395" s="297">
        <f t="shared" si="89"/>
        <v>10142</v>
      </c>
      <c r="P395" s="298">
        <f>O395/12</f>
        <v>845.16666666666663</v>
      </c>
      <c r="Q395" s="222"/>
      <c r="R395" s="222"/>
      <c r="S395" s="222"/>
      <c r="T395" s="222"/>
    </row>
    <row r="396" spans="1:20" ht="10.15" customHeight="1">
      <c r="A396" s="319"/>
      <c r="B396" s="245" t="s">
        <v>23</v>
      </c>
      <c r="C396" s="296">
        <v>0</v>
      </c>
      <c r="D396" s="296">
        <v>1760</v>
      </c>
      <c r="E396" s="296">
        <v>218</v>
      </c>
      <c r="F396" s="296">
        <v>120</v>
      </c>
      <c r="G396" s="296">
        <v>120</v>
      </c>
      <c r="H396" s="296">
        <v>100</v>
      </c>
      <c r="I396" s="296">
        <v>176</v>
      </c>
      <c r="J396" s="296">
        <v>240</v>
      </c>
      <c r="K396" s="296">
        <v>260</v>
      </c>
      <c r="L396" s="296">
        <v>0</v>
      </c>
      <c r="M396" s="296">
        <v>280</v>
      </c>
      <c r="N396" s="296">
        <v>0</v>
      </c>
      <c r="O396" s="297">
        <f t="shared" si="89"/>
        <v>3274</v>
      </c>
      <c r="P396" s="298">
        <f>O396/12</f>
        <v>272.83333333333331</v>
      </c>
      <c r="Q396" s="222"/>
      <c r="R396" s="222"/>
      <c r="S396" s="222"/>
      <c r="T396" s="222"/>
    </row>
    <row r="397" spans="1:20" ht="10.15" customHeight="1">
      <c r="A397" s="319"/>
      <c r="B397" s="245" t="s">
        <v>24</v>
      </c>
      <c r="C397" s="296">
        <v>0</v>
      </c>
      <c r="D397" s="296">
        <v>0</v>
      </c>
      <c r="E397" s="296">
        <v>0</v>
      </c>
      <c r="F397" s="296">
        <v>0</v>
      </c>
      <c r="G397" s="296">
        <v>0</v>
      </c>
      <c r="H397" s="296">
        <v>0</v>
      </c>
      <c r="I397" s="296">
        <v>0</v>
      </c>
      <c r="J397" s="296">
        <v>0</v>
      </c>
      <c r="K397" s="296">
        <v>0</v>
      </c>
      <c r="L397" s="296">
        <v>0</v>
      </c>
      <c r="M397" s="296"/>
      <c r="N397" s="296">
        <v>0</v>
      </c>
      <c r="O397" s="297">
        <f t="shared" si="89"/>
        <v>0</v>
      </c>
      <c r="P397" s="298">
        <f t="shared" si="90"/>
        <v>0</v>
      </c>
      <c r="Q397" s="222"/>
      <c r="R397" s="222"/>
      <c r="S397" s="222"/>
      <c r="T397" s="222"/>
    </row>
    <row r="398" spans="1:20" ht="10.15" customHeight="1">
      <c r="A398" s="319"/>
      <c r="B398" s="245" t="s">
        <v>25</v>
      </c>
      <c r="C398" s="296">
        <v>0</v>
      </c>
      <c r="D398" s="296">
        <v>0</v>
      </c>
      <c r="E398" s="296">
        <v>0</v>
      </c>
      <c r="F398" s="296">
        <v>0</v>
      </c>
      <c r="G398" s="296">
        <v>0</v>
      </c>
      <c r="H398" s="296">
        <v>0</v>
      </c>
      <c r="I398" s="296">
        <v>0</v>
      </c>
      <c r="J398" s="296">
        <v>0</v>
      </c>
      <c r="K398" s="296">
        <v>0</v>
      </c>
      <c r="L398" s="296">
        <v>0</v>
      </c>
      <c r="M398" s="296"/>
      <c r="N398" s="296">
        <v>0</v>
      </c>
      <c r="O398" s="297">
        <f t="shared" si="89"/>
        <v>0</v>
      </c>
      <c r="P398" s="298">
        <f t="shared" si="90"/>
        <v>0</v>
      </c>
      <c r="Q398" s="222"/>
      <c r="R398" s="222"/>
      <c r="S398" s="222"/>
      <c r="T398" s="222"/>
    </row>
    <row r="399" spans="1:20" ht="10.15" customHeight="1">
      <c r="A399" s="319"/>
      <c r="B399" s="245" t="s">
        <v>26</v>
      </c>
      <c r="C399" s="296">
        <v>0</v>
      </c>
      <c r="D399" s="296">
        <v>0</v>
      </c>
      <c r="E399" s="296">
        <v>0</v>
      </c>
      <c r="F399" s="296">
        <v>0</v>
      </c>
      <c r="G399" s="296">
        <v>0</v>
      </c>
      <c r="H399" s="296">
        <v>0</v>
      </c>
      <c r="I399" s="296">
        <v>0</v>
      </c>
      <c r="J399" s="296">
        <v>0</v>
      </c>
      <c r="K399" s="296">
        <v>0</v>
      </c>
      <c r="L399" s="296">
        <v>0</v>
      </c>
      <c r="M399" s="296"/>
      <c r="N399" s="296"/>
      <c r="O399" s="297">
        <f t="shared" si="89"/>
        <v>0</v>
      </c>
      <c r="P399" s="298">
        <f t="shared" si="90"/>
        <v>0</v>
      </c>
      <c r="Q399" s="222"/>
      <c r="R399" s="222"/>
      <c r="S399" s="222"/>
      <c r="T399" s="222"/>
    </row>
    <row r="400" spans="1:20" ht="10.15" customHeight="1">
      <c r="A400" s="319" t="s">
        <v>27</v>
      </c>
      <c r="B400" s="320"/>
      <c r="C400" s="297">
        <f t="shared" ref="C400:N400" si="91">SUM(C392:C399)</f>
        <v>0</v>
      </c>
      <c r="D400" s="297">
        <f t="shared" si="91"/>
        <v>3664</v>
      </c>
      <c r="E400" s="297">
        <f t="shared" si="91"/>
        <v>2238</v>
      </c>
      <c r="F400" s="297">
        <f t="shared" si="91"/>
        <v>1140</v>
      </c>
      <c r="G400" s="297">
        <f t="shared" si="91"/>
        <v>1240</v>
      </c>
      <c r="H400" s="297">
        <f t="shared" si="91"/>
        <v>1802</v>
      </c>
      <c r="I400" s="297">
        <f t="shared" si="91"/>
        <v>3196</v>
      </c>
      <c r="J400" s="297">
        <f t="shared" si="91"/>
        <v>1640</v>
      </c>
      <c r="K400" s="297">
        <f t="shared" si="91"/>
        <v>3107</v>
      </c>
      <c r="L400" s="297">
        <f t="shared" si="91"/>
        <v>1574</v>
      </c>
      <c r="M400" s="297">
        <f t="shared" si="91"/>
        <v>2060</v>
      </c>
      <c r="N400" s="297">
        <f t="shared" si="91"/>
        <v>3500</v>
      </c>
      <c r="O400" s="297">
        <f t="shared" si="89"/>
        <v>25161</v>
      </c>
      <c r="P400" s="298">
        <f>O400/12</f>
        <v>2096.75</v>
      </c>
      <c r="Q400" s="222"/>
      <c r="R400" s="222"/>
      <c r="S400" s="222"/>
      <c r="T400" s="222"/>
    </row>
    <row r="401" spans="1:20" ht="10.15" customHeight="1">
      <c r="A401" s="308"/>
      <c r="B401" s="246"/>
      <c r="C401" s="297"/>
      <c r="D401" s="297"/>
      <c r="E401" s="297"/>
      <c r="F401" s="297"/>
      <c r="G401" s="297"/>
      <c r="H401" s="297"/>
      <c r="I401" s="297"/>
      <c r="J401" s="297"/>
      <c r="K401" s="297"/>
      <c r="L401" s="297"/>
      <c r="M401" s="297"/>
      <c r="N401" s="297"/>
      <c r="O401" s="297"/>
      <c r="P401" s="298"/>
      <c r="Q401" s="222"/>
      <c r="R401" s="222"/>
      <c r="S401" s="222"/>
      <c r="T401" s="222"/>
    </row>
    <row r="402" spans="1:20" ht="10.15" customHeight="1">
      <c r="A402" s="319" t="s">
        <v>28</v>
      </c>
      <c r="B402" s="245" t="s">
        <v>29</v>
      </c>
      <c r="C402" s="296">
        <v>680</v>
      </c>
      <c r="D402" s="296">
        <v>900</v>
      </c>
      <c r="E402" s="296">
        <v>580</v>
      </c>
      <c r="F402" s="296">
        <v>680</v>
      </c>
      <c r="G402" s="296">
        <v>440</v>
      </c>
      <c r="H402" s="296">
        <v>1035</v>
      </c>
      <c r="I402" s="296">
        <v>880</v>
      </c>
      <c r="J402" s="296">
        <v>920</v>
      </c>
      <c r="K402" s="296">
        <v>700</v>
      </c>
      <c r="L402" s="296">
        <v>1120</v>
      </c>
      <c r="M402" s="296">
        <v>892</v>
      </c>
      <c r="N402" s="296">
        <v>1360</v>
      </c>
      <c r="O402" s="297">
        <f>SUM(C402:N402)</f>
        <v>10187</v>
      </c>
      <c r="P402" s="298">
        <f>O402/12</f>
        <v>848.91666666666663</v>
      </c>
      <c r="Q402" s="222"/>
      <c r="R402" s="222"/>
      <c r="S402" s="222"/>
      <c r="T402" s="222"/>
    </row>
    <row r="403" spans="1:20" ht="10.15" customHeight="1">
      <c r="A403" s="319"/>
      <c r="B403" s="245" t="s">
        <v>30</v>
      </c>
      <c r="C403" s="296">
        <v>1890</v>
      </c>
      <c r="D403" s="296">
        <v>1920</v>
      </c>
      <c r="E403" s="296">
        <v>1260</v>
      </c>
      <c r="F403" s="296">
        <v>980</v>
      </c>
      <c r="G403" s="296">
        <v>760</v>
      </c>
      <c r="H403" s="296">
        <v>2033</v>
      </c>
      <c r="I403" s="296">
        <v>1920</v>
      </c>
      <c r="J403" s="296">
        <v>1960</v>
      </c>
      <c r="K403" s="296">
        <v>1360</v>
      </c>
      <c r="L403" s="296">
        <v>2262</v>
      </c>
      <c r="M403" s="296">
        <v>951</v>
      </c>
      <c r="N403" s="296">
        <v>2770</v>
      </c>
      <c r="O403" s="297">
        <f>SUM(C403:N403)</f>
        <v>20066</v>
      </c>
      <c r="P403" s="298">
        <f>O403/12</f>
        <v>1672.1666666666667</v>
      </c>
      <c r="Q403" s="222"/>
      <c r="R403" s="222"/>
      <c r="S403" s="222"/>
      <c r="T403" s="222"/>
    </row>
    <row r="404" spans="1:20" ht="10.15" customHeight="1">
      <c r="A404" s="319"/>
      <c r="B404" s="245" t="s">
        <v>31</v>
      </c>
      <c r="C404" s="296">
        <v>3480</v>
      </c>
      <c r="D404" s="296">
        <v>3260</v>
      </c>
      <c r="E404" s="296">
        <v>2420</v>
      </c>
      <c r="F404" s="296">
        <v>1680</v>
      </c>
      <c r="G404" s="296">
        <v>1480</v>
      </c>
      <c r="H404" s="296">
        <v>3579</v>
      </c>
      <c r="I404" s="296">
        <v>3840</v>
      </c>
      <c r="J404" s="296">
        <v>3560</v>
      </c>
      <c r="K404" s="296">
        <v>2400</v>
      </c>
      <c r="L404" s="296">
        <v>4420</v>
      </c>
      <c r="M404" s="296">
        <v>2540</v>
      </c>
      <c r="N404" s="296">
        <v>4580</v>
      </c>
      <c r="O404" s="297">
        <f>SUM(C404:N404)</f>
        <v>37239</v>
      </c>
      <c r="P404" s="298">
        <f>O404/12</f>
        <v>3103.25</v>
      </c>
      <c r="Q404" s="222"/>
      <c r="R404" s="222"/>
      <c r="S404" s="222"/>
      <c r="T404" s="222"/>
    </row>
    <row r="405" spans="1:20" ht="10.15" customHeight="1">
      <c r="A405" s="319"/>
      <c r="B405" s="245" t="s">
        <v>32</v>
      </c>
      <c r="C405" s="296">
        <v>480</v>
      </c>
      <c r="D405" s="296">
        <v>460</v>
      </c>
      <c r="E405" s="296">
        <v>420</v>
      </c>
      <c r="F405" s="296">
        <v>860</v>
      </c>
      <c r="G405" s="296">
        <v>780</v>
      </c>
      <c r="H405" s="296">
        <v>480</v>
      </c>
      <c r="I405" s="296">
        <v>360</v>
      </c>
      <c r="J405" s="296">
        <v>440</v>
      </c>
      <c r="K405" s="296">
        <v>0</v>
      </c>
      <c r="L405" s="296">
        <v>1060</v>
      </c>
      <c r="M405" s="296">
        <v>0</v>
      </c>
      <c r="N405" s="296">
        <v>1597</v>
      </c>
      <c r="O405" s="297">
        <f>SUM(C405:N405)</f>
        <v>6937</v>
      </c>
      <c r="P405" s="298">
        <f>O405/12</f>
        <v>578.08333333333337</v>
      </c>
      <c r="Q405" s="222"/>
      <c r="R405" s="222"/>
      <c r="S405" s="222"/>
      <c r="T405" s="222"/>
    </row>
    <row r="406" spans="1:20" ht="10.15" customHeight="1">
      <c r="A406" s="319" t="s">
        <v>27</v>
      </c>
      <c r="B406" s="320"/>
      <c r="C406" s="297">
        <f t="shared" ref="C406:N406" si="92">SUM(C402:C405)</f>
        <v>6530</v>
      </c>
      <c r="D406" s="297">
        <f t="shared" si="92"/>
        <v>6540</v>
      </c>
      <c r="E406" s="297">
        <f t="shared" si="92"/>
        <v>4680</v>
      </c>
      <c r="F406" s="297">
        <f t="shared" si="92"/>
        <v>4200</v>
      </c>
      <c r="G406" s="297">
        <f t="shared" si="92"/>
        <v>3460</v>
      </c>
      <c r="H406" s="297">
        <f t="shared" si="92"/>
        <v>7127</v>
      </c>
      <c r="I406" s="297">
        <f t="shared" si="92"/>
        <v>7000</v>
      </c>
      <c r="J406" s="297">
        <f t="shared" si="92"/>
        <v>6880</v>
      </c>
      <c r="K406" s="297">
        <f t="shared" si="92"/>
        <v>4460</v>
      </c>
      <c r="L406" s="297">
        <f t="shared" si="92"/>
        <v>8862</v>
      </c>
      <c r="M406" s="297">
        <f t="shared" si="92"/>
        <v>4383</v>
      </c>
      <c r="N406" s="297">
        <f t="shared" si="92"/>
        <v>10307</v>
      </c>
      <c r="O406" s="297">
        <f>SUM(C406:N406)</f>
        <v>74429</v>
      </c>
      <c r="P406" s="298">
        <f>O406/12</f>
        <v>6202.416666666667</v>
      </c>
      <c r="Q406" s="222"/>
      <c r="R406" s="222"/>
      <c r="S406" s="222"/>
      <c r="T406" s="222"/>
    </row>
    <row r="407" spans="1:20" ht="10.15" customHeight="1">
      <c r="A407" s="308"/>
      <c r="B407" s="246"/>
      <c r="C407" s="297"/>
      <c r="D407" s="297"/>
      <c r="E407" s="297"/>
      <c r="F407" s="297"/>
      <c r="G407" s="297"/>
      <c r="H407" s="297"/>
      <c r="I407" s="297"/>
      <c r="J407" s="297"/>
      <c r="K407" s="297"/>
      <c r="L407" s="297"/>
      <c r="M407" s="297"/>
      <c r="N407" s="297"/>
      <c r="O407" s="297"/>
      <c r="P407" s="298"/>
      <c r="Q407" s="222"/>
      <c r="R407" s="222"/>
      <c r="S407" s="222"/>
      <c r="T407" s="222"/>
    </row>
    <row r="408" spans="1:20" ht="10.15" customHeight="1">
      <c r="A408" s="319" t="s">
        <v>33</v>
      </c>
      <c r="B408" s="245" t="s">
        <v>34</v>
      </c>
      <c r="C408" s="296">
        <v>0</v>
      </c>
      <c r="D408" s="296">
        <v>0</v>
      </c>
      <c r="E408" s="296">
        <v>0</v>
      </c>
      <c r="F408" s="296">
        <v>0</v>
      </c>
      <c r="G408" s="296">
        <v>0</v>
      </c>
      <c r="H408" s="296">
        <v>0</v>
      </c>
      <c r="I408" s="296">
        <v>0</v>
      </c>
      <c r="J408" s="296">
        <v>0</v>
      </c>
      <c r="K408" s="296">
        <v>0</v>
      </c>
      <c r="L408" s="296">
        <v>0</v>
      </c>
      <c r="M408" s="296">
        <v>0</v>
      </c>
      <c r="N408" s="296">
        <v>0</v>
      </c>
      <c r="O408" s="294">
        <f>SUM(C408:N408)</f>
        <v>0</v>
      </c>
      <c r="P408" s="295">
        <f>O408/12</f>
        <v>0</v>
      </c>
      <c r="Q408" s="222"/>
      <c r="R408" s="222"/>
      <c r="S408" s="222"/>
      <c r="T408" s="222"/>
    </row>
    <row r="409" spans="1:20" ht="10.15" customHeight="1">
      <c r="A409" s="319"/>
      <c r="B409" s="245" t="s">
        <v>35</v>
      </c>
      <c r="C409" s="296">
        <v>0</v>
      </c>
      <c r="D409" s="296">
        <v>0</v>
      </c>
      <c r="E409" s="296">
        <v>0</v>
      </c>
      <c r="F409" s="296">
        <v>0</v>
      </c>
      <c r="G409" s="296">
        <v>0</v>
      </c>
      <c r="H409" s="296">
        <v>0</v>
      </c>
      <c r="I409" s="296">
        <v>0</v>
      </c>
      <c r="J409" s="296">
        <v>0</v>
      </c>
      <c r="K409" s="296">
        <v>0</v>
      </c>
      <c r="L409" s="296">
        <v>0</v>
      </c>
      <c r="M409" s="296">
        <v>0</v>
      </c>
      <c r="N409" s="296">
        <v>0</v>
      </c>
      <c r="O409" s="294">
        <f>SUM(C409:N409)</f>
        <v>0</v>
      </c>
      <c r="P409" s="295">
        <f>O409/12</f>
        <v>0</v>
      </c>
      <c r="Q409" s="222"/>
      <c r="R409" s="222"/>
      <c r="S409" s="222"/>
      <c r="T409" s="222"/>
    </row>
    <row r="410" spans="1:20" ht="10.15" customHeight="1">
      <c r="A410" s="319" t="s">
        <v>27</v>
      </c>
      <c r="B410" s="320"/>
      <c r="C410" s="297">
        <f>SUM(C408:C409)</f>
        <v>0</v>
      </c>
      <c r="D410" s="297">
        <f t="shared" ref="D410:N410" si="93">SUM(D408:D409)</f>
        <v>0</v>
      </c>
      <c r="E410" s="297">
        <f t="shared" si="93"/>
        <v>0</v>
      </c>
      <c r="F410" s="297">
        <f t="shared" si="93"/>
        <v>0</v>
      </c>
      <c r="G410" s="297">
        <f t="shared" si="93"/>
        <v>0</v>
      </c>
      <c r="H410" s="297">
        <f t="shared" si="93"/>
        <v>0</v>
      </c>
      <c r="I410" s="297">
        <f t="shared" si="93"/>
        <v>0</v>
      </c>
      <c r="J410" s="297">
        <f t="shared" si="93"/>
        <v>0</v>
      </c>
      <c r="K410" s="297">
        <f t="shared" si="93"/>
        <v>0</v>
      </c>
      <c r="L410" s="297">
        <f t="shared" si="93"/>
        <v>0</v>
      </c>
      <c r="M410" s="297">
        <f t="shared" si="93"/>
        <v>0</v>
      </c>
      <c r="N410" s="297">
        <f t="shared" si="93"/>
        <v>0</v>
      </c>
      <c r="O410" s="294">
        <f>SUM(C410:N410)</f>
        <v>0</v>
      </c>
      <c r="P410" s="295">
        <f>O410/12</f>
        <v>0</v>
      </c>
      <c r="Q410" s="222"/>
      <c r="R410" s="222"/>
      <c r="S410" s="222"/>
      <c r="T410" s="222"/>
    </row>
    <row r="411" spans="1:20" ht="10.15" customHeight="1">
      <c r="A411" s="308"/>
      <c r="B411" s="246"/>
      <c r="C411" s="297"/>
      <c r="D411" s="297"/>
      <c r="E411" s="297"/>
      <c r="F411" s="297"/>
      <c r="G411" s="297"/>
      <c r="H411" s="297"/>
      <c r="I411" s="297"/>
      <c r="J411" s="297"/>
      <c r="K411" s="297"/>
      <c r="L411" s="297"/>
      <c r="M411" s="297"/>
      <c r="N411" s="297"/>
      <c r="O411" s="294"/>
      <c r="P411" s="295"/>
      <c r="Q411" s="222"/>
      <c r="R411" s="222"/>
      <c r="S411" s="222"/>
      <c r="T411" s="222"/>
    </row>
    <row r="412" spans="1:20" ht="10.15" customHeight="1">
      <c r="A412" s="319" t="s">
        <v>36</v>
      </c>
      <c r="B412" s="245" t="s">
        <v>37</v>
      </c>
      <c r="C412" s="296">
        <v>0</v>
      </c>
      <c r="D412" s="296">
        <v>0</v>
      </c>
      <c r="E412" s="296">
        <v>0</v>
      </c>
      <c r="F412" s="296">
        <v>0</v>
      </c>
      <c r="G412" s="296">
        <v>0</v>
      </c>
      <c r="H412" s="296">
        <v>0</v>
      </c>
      <c r="I412" s="296">
        <v>0</v>
      </c>
      <c r="J412" s="296">
        <v>0</v>
      </c>
      <c r="K412" s="296">
        <v>0</v>
      </c>
      <c r="L412" s="296">
        <v>0</v>
      </c>
      <c r="M412" s="296"/>
      <c r="N412" s="296"/>
      <c r="O412" s="294">
        <f>SUM(C412:N412)</f>
        <v>0</v>
      </c>
      <c r="P412" s="295">
        <f>O412/12</f>
        <v>0</v>
      </c>
      <c r="Q412" s="222"/>
      <c r="R412" s="222"/>
      <c r="S412" s="222"/>
      <c r="T412" s="222"/>
    </row>
    <row r="413" spans="1:20" ht="10.15" customHeight="1">
      <c r="A413" s="319"/>
      <c r="B413" s="245" t="s">
        <v>38</v>
      </c>
      <c r="C413" s="296">
        <v>1163.2</v>
      </c>
      <c r="D413" s="296">
        <v>344</v>
      </c>
      <c r="E413" s="296">
        <v>404</v>
      </c>
      <c r="F413" s="296">
        <v>314</v>
      </c>
      <c r="G413" s="296">
        <v>219</v>
      </c>
      <c r="H413" s="296">
        <v>379</v>
      </c>
      <c r="I413" s="296">
        <v>402</v>
      </c>
      <c r="J413" s="296">
        <v>411</v>
      </c>
      <c r="K413" s="296">
        <v>596</v>
      </c>
      <c r="L413" s="296">
        <v>896</v>
      </c>
      <c r="M413" s="296">
        <v>440</v>
      </c>
      <c r="N413" s="296">
        <v>0</v>
      </c>
      <c r="O413" s="294">
        <f>SUM(C413:N413)</f>
        <v>5568.2</v>
      </c>
      <c r="P413" s="295">
        <f>O413/12</f>
        <v>464.01666666666665</v>
      </c>
      <c r="Q413" s="222"/>
      <c r="R413" s="222"/>
      <c r="S413" s="222"/>
      <c r="T413" s="222"/>
    </row>
    <row r="414" spans="1:20" ht="10.15" customHeight="1">
      <c r="A414" s="319"/>
      <c r="B414" s="245" t="s">
        <v>39</v>
      </c>
      <c r="C414" s="296">
        <v>0</v>
      </c>
      <c r="D414" s="296">
        <v>0</v>
      </c>
      <c r="E414" s="296">
        <v>0</v>
      </c>
      <c r="F414" s="296">
        <v>0</v>
      </c>
      <c r="G414" s="296">
        <v>0</v>
      </c>
      <c r="H414" s="296">
        <v>0</v>
      </c>
      <c r="I414" s="296">
        <v>0</v>
      </c>
      <c r="J414" s="296">
        <v>0</v>
      </c>
      <c r="K414" s="296">
        <v>0</v>
      </c>
      <c r="L414" s="296">
        <v>0</v>
      </c>
      <c r="M414" s="296">
        <v>0</v>
      </c>
      <c r="N414" s="296">
        <v>836</v>
      </c>
      <c r="O414" s="294">
        <f>SUM(C414:N414)</f>
        <v>836</v>
      </c>
      <c r="P414" s="295">
        <f>O414/12</f>
        <v>69.666666666666671</v>
      </c>
      <c r="Q414" s="222"/>
      <c r="R414" s="222"/>
      <c r="S414" s="222"/>
      <c r="T414" s="222"/>
    </row>
    <row r="415" spans="1:20" ht="10.15" customHeight="1">
      <c r="A415" s="319" t="s">
        <v>27</v>
      </c>
      <c r="B415" s="320"/>
      <c r="C415" s="285">
        <f t="shared" ref="C415:N415" si="94">SUM(C412:C414)</f>
        <v>1163.2</v>
      </c>
      <c r="D415" s="285">
        <f t="shared" si="94"/>
        <v>344</v>
      </c>
      <c r="E415" s="285">
        <f t="shared" si="94"/>
        <v>404</v>
      </c>
      <c r="F415" s="285">
        <f t="shared" si="94"/>
        <v>314</v>
      </c>
      <c r="G415" s="285">
        <f t="shared" si="94"/>
        <v>219</v>
      </c>
      <c r="H415" s="285">
        <f t="shared" si="94"/>
        <v>379</v>
      </c>
      <c r="I415" s="285">
        <f t="shared" si="94"/>
        <v>402</v>
      </c>
      <c r="J415" s="285">
        <f t="shared" si="94"/>
        <v>411</v>
      </c>
      <c r="K415" s="285">
        <f t="shared" si="94"/>
        <v>596</v>
      </c>
      <c r="L415" s="285">
        <f t="shared" si="94"/>
        <v>896</v>
      </c>
      <c r="M415" s="285">
        <f t="shared" si="94"/>
        <v>440</v>
      </c>
      <c r="N415" s="285">
        <f t="shared" si="94"/>
        <v>836</v>
      </c>
      <c r="O415" s="294">
        <f>SUM(C415:N415)</f>
        <v>6404.2</v>
      </c>
      <c r="P415" s="295">
        <f>O415/12</f>
        <v>533.68333333333328</v>
      </c>
      <c r="Q415" s="222"/>
      <c r="R415" s="222"/>
      <c r="S415" s="222"/>
      <c r="T415" s="222"/>
    </row>
    <row r="416" spans="1:20" ht="10.15" customHeight="1">
      <c r="A416" s="308"/>
      <c r="B416" s="246"/>
      <c r="C416" s="297"/>
      <c r="D416" s="297"/>
      <c r="E416" s="297"/>
      <c r="F416" s="297"/>
      <c r="G416" s="297"/>
      <c r="H416" s="297"/>
      <c r="I416" s="297"/>
      <c r="J416" s="297"/>
      <c r="K416" s="297"/>
      <c r="L416" s="297"/>
      <c r="M416" s="297"/>
      <c r="N416" s="297"/>
      <c r="O416" s="294"/>
      <c r="P416" s="295"/>
      <c r="Q416" s="222"/>
      <c r="R416" s="222"/>
      <c r="S416" s="222"/>
      <c r="T416" s="222"/>
    </row>
    <row r="417" spans="1:20" ht="10.15" customHeight="1">
      <c r="A417" s="319" t="s">
        <v>13</v>
      </c>
      <c r="B417" s="245" t="s">
        <v>40</v>
      </c>
      <c r="C417" s="296">
        <v>661.5</v>
      </c>
      <c r="D417" s="296">
        <v>0</v>
      </c>
      <c r="E417" s="296">
        <v>0</v>
      </c>
      <c r="F417" s="296">
        <v>158</v>
      </c>
      <c r="G417" s="296">
        <v>0</v>
      </c>
      <c r="H417" s="296">
        <v>129</v>
      </c>
      <c r="I417" s="296">
        <v>0</v>
      </c>
      <c r="J417" s="296">
        <v>160</v>
      </c>
      <c r="K417" s="296">
        <v>0</v>
      </c>
      <c r="L417" s="296">
        <v>128</v>
      </c>
      <c r="M417" s="296">
        <v>0</v>
      </c>
      <c r="N417" s="296">
        <v>0</v>
      </c>
      <c r="O417" s="297">
        <f t="shared" ref="O417:O424" si="95">SUM(C417:N417)</f>
        <v>1236.5</v>
      </c>
      <c r="P417" s="298">
        <f>O417/12</f>
        <v>103.04166666666667</v>
      </c>
      <c r="Q417" s="222"/>
      <c r="R417" s="222"/>
      <c r="S417" s="222"/>
      <c r="T417" s="222"/>
    </row>
    <row r="418" spans="1:20" ht="10.15" customHeight="1">
      <c r="A418" s="319"/>
      <c r="B418" s="245" t="s">
        <v>41</v>
      </c>
      <c r="C418" s="296">
        <v>0</v>
      </c>
      <c r="D418" s="296">
        <v>0</v>
      </c>
      <c r="E418" s="296">
        <v>0</v>
      </c>
      <c r="F418" s="296">
        <v>0</v>
      </c>
      <c r="G418" s="296">
        <v>0</v>
      </c>
      <c r="H418" s="296">
        <v>0</v>
      </c>
      <c r="I418" s="296">
        <v>0</v>
      </c>
      <c r="J418" s="296">
        <v>0</v>
      </c>
      <c r="K418" s="296">
        <v>0</v>
      </c>
      <c r="L418" s="296">
        <v>0</v>
      </c>
      <c r="M418" s="296">
        <v>0</v>
      </c>
      <c r="N418" s="296">
        <v>0</v>
      </c>
      <c r="O418" s="297">
        <f t="shared" si="95"/>
        <v>0</v>
      </c>
      <c r="P418" s="298">
        <f t="shared" ref="P418:P421" si="96">O418/12</f>
        <v>0</v>
      </c>
      <c r="Q418" s="222"/>
      <c r="R418" s="222"/>
      <c r="S418" s="222"/>
      <c r="T418" s="222"/>
    </row>
    <row r="419" spans="1:20" ht="10.15" customHeight="1">
      <c r="A419" s="319"/>
      <c r="B419" s="245" t="s">
        <v>42</v>
      </c>
      <c r="C419" s="296">
        <v>0</v>
      </c>
      <c r="D419" s="296">
        <v>200</v>
      </c>
      <c r="E419" s="296">
        <v>160</v>
      </c>
      <c r="F419" s="296">
        <v>140</v>
      </c>
      <c r="G419" s="296">
        <v>0</v>
      </c>
      <c r="H419" s="296">
        <v>160</v>
      </c>
      <c r="I419" s="296">
        <v>240</v>
      </c>
      <c r="J419" s="296">
        <v>0</v>
      </c>
      <c r="K419" s="296">
        <v>260</v>
      </c>
      <c r="L419" s="296">
        <v>0</v>
      </c>
      <c r="M419" s="296">
        <v>400</v>
      </c>
      <c r="N419" s="296">
        <v>0</v>
      </c>
      <c r="O419" s="297">
        <f t="shared" si="95"/>
        <v>1560</v>
      </c>
      <c r="P419" s="298">
        <f>O419/12</f>
        <v>130</v>
      </c>
      <c r="Q419" s="222"/>
      <c r="R419" s="222"/>
      <c r="S419" s="222"/>
      <c r="T419" s="222"/>
    </row>
    <row r="420" spans="1:20" ht="10.15" customHeight="1">
      <c r="A420" s="319"/>
      <c r="B420" s="245" t="s">
        <v>43</v>
      </c>
      <c r="C420" s="296">
        <v>2005</v>
      </c>
      <c r="D420" s="296">
        <v>3578</v>
      </c>
      <c r="E420" s="296">
        <v>1433</v>
      </c>
      <c r="F420" s="296">
        <v>1081</v>
      </c>
      <c r="G420" s="296">
        <v>1217</v>
      </c>
      <c r="H420" s="296">
        <v>1915</v>
      </c>
      <c r="I420" s="296">
        <v>3767</v>
      </c>
      <c r="J420" s="296">
        <v>2192</v>
      </c>
      <c r="K420" s="296">
        <v>2053</v>
      </c>
      <c r="L420" s="296">
        <v>3661</v>
      </c>
      <c r="M420" s="296">
        <v>2957</v>
      </c>
      <c r="N420" s="296">
        <v>2978</v>
      </c>
      <c r="O420" s="297">
        <f t="shared" si="95"/>
        <v>28837</v>
      </c>
      <c r="P420" s="298">
        <f>O420/12</f>
        <v>2403.0833333333335</v>
      </c>
      <c r="Q420" s="222"/>
      <c r="R420" s="222"/>
      <c r="S420" s="222"/>
      <c r="T420" s="222"/>
    </row>
    <row r="421" spans="1:20" ht="10.15" customHeight="1">
      <c r="A421" s="319"/>
      <c r="B421" s="245" t="s">
        <v>44</v>
      </c>
      <c r="C421" s="296">
        <v>0</v>
      </c>
      <c r="D421" s="296">
        <v>0</v>
      </c>
      <c r="E421" s="296">
        <v>0</v>
      </c>
      <c r="F421" s="296">
        <v>0</v>
      </c>
      <c r="G421" s="296">
        <v>0</v>
      </c>
      <c r="H421" s="296">
        <v>0</v>
      </c>
      <c r="I421" s="296">
        <v>0</v>
      </c>
      <c r="J421" s="296">
        <v>0</v>
      </c>
      <c r="K421" s="296">
        <v>0</v>
      </c>
      <c r="L421" s="296">
        <v>0</v>
      </c>
      <c r="M421" s="296">
        <v>0</v>
      </c>
      <c r="N421" s="296">
        <v>0</v>
      </c>
      <c r="O421" s="297">
        <f t="shared" si="95"/>
        <v>0</v>
      </c>
      <c r="P421" s="298">
        <f t="shared" si="96"/>
        <v>0</v>
      </c>
      <c r="Q421" s="222"/>
      <c r="R421" s="222"/>
      <c r="S421" s="222"/>
      <c r="T421" s="222"/>
    </row>
    <row r="422" spans="1:20" ht="10.15" customHeight="1">
      <c r="A422" s="319"/>
      <c r="B422" s="245" t="s">
        <v>45</v>
      </c>
      <c r="C422" s="296">
        <v>0</v>
      </c>
      <c r="D422" s="296">
        <v>0</v>
      </c>
      <c r="E422" s="296">
        <v>0</v>
      </c>
      <c r="F422" s="296">
        <v>0</v>
      </c>
      <c r="G422" s="296">
        <v>0</v>
      </c>
      <c r="H422" s="296">
        <v>0</v>
      </c>
      <c r="I422" s="296">
        <v>0</v>
      </c>
      <c r="J422" s="296">
        <v>0</v>
      </c>
      <c r="K422" s="296">
        <v>0</v>
      </c>
      <c r="L422" s="296">
        <v>0</v>
      </c>
      <c r="M422" s="296">
        <v>51</v>
      </c>
      <c r="N422" s="296">
        <v>0</v>
      </c>
      <c r="O422" s="297">
        <f t="shared" si="95"/>
        <v>51</v>
      </c>
      <c r="P422" s="298">
        <f>O422/12</f>
        <v>4.25</v>
      </c>
      <c r="Q422" s="222"/>
      <c r="R422" s="222"/>
      <c r="S422" s="222"/>
      <c r="T422" s="222"/>
    </row>
    <row r="423" spans="1:20" ht="10.15" customHeight="1">
      <c r="A423" s="319"/>
      <c r="B423" s="245" t="s">
        <v>46</v>
      </c>
      <c r="C423" s="296">
        <v>9874</v>
      </c>
      <c r="D423" s="296">
        <v>9316</v>
      </c>
      <c r="E423" s="296">
        <v>15800</v>
      </c>
      <c r="F423" s="296">
        <v>8220</v>
      </c>
      <c r="G423" s="296">
        <v>8031</v>
      </c>
      <c r="H423" s="296">
        <v>13186</v>
      </c>
      <c r="I423" s="296">
        <v>16382</v>
      </c>
      <c r="J423" s="296">
        <v>21023</v>
      </c>
      <c r="K423" s="296">
        <v>16855</v>
      </c>
      <c r="L423" s="296">
        <v>17016</v>
      </c>
      <c r="M423" s="296">
        <v>20885</v>
      </c>
      <c r="N423" s="296">
        <v>16594</v>
      </c>
      <c r="O423" s="297">
        <f t="shared" si="95"/>
        <v>173182</v>
      </c>
      <c r="P423" s="298">
        <f>O423/12</f>
        <v>14431.833333333334</v>
      </c>
      <c r="Q423" s="222"/>
      <c r="R423" s="222"/>
      <c r="S423" s="222"/>
      <c r="T423" s="222"/>
    </row>
    <row r="424" spans="1:20" ht="10.15" customHeight="1">
      <c r="A424" s="319" t="s">
        <v>27</v>
      </c>
      <c r="B424" s="320"/>
      <c r="C424" s="285">
        <f t="shared" ref="C424:N424" si="97">SUM(C417:C423)</f>
        <v>12540.5</v>
      </c>
      <c r="D424" s="285">
        <f t="shared" si="97"/>
        <v>13094</v>
      </c>
      <c r="E424" s="285">
        <f t="shared" si="97"/>
        <v>17393</v>
      </c>
      <c r="F424" s="285">
        <f t="shared" si="97"/>
        <v>9599</v>
      </c>
      <c r="G424" s="285">
        <f t="shared" si="97"/>
        <v>9248</v>
      </c>
      <c r="H424" s="285">
        <f t="shared" si="97"/>
        <v>15390</v>
      </c>
      <c r="I424" s="285">
        <f t="shared" si="97"/>
        <v>20389</v>
      </c>
      <c r="J424" s="285">
        <f t="shared" si="97"/>
        <v>23375</v>
      </c>
      <c r="K424" s="285">
        <f t="shared" si="97"/>
        <v>19168</v>
      </c>
      <c r="L424" s="285">
        <f t="shared" si="97"/>
        <v>20805</v>
      </c>
      <c r="M424" s="285">
        <f t="shared" si="97"/>
        <v>24293</v>
      </c>
      <c r="N424" s="285">
        <f t="shared" si="97"/>
        <v>19572</v>
      </c>
      <c r="O424" s="294">
        <f t="shared" si="95"/>
        <v>204866.5</v>
      </c>
      <c r="P424" s="295">
        <f>O424/12</f>
        <v>17072.208333333332</v>
      </c>
      <c r="Q424" s="222"/>
      <c r="R424" s="222"/>
      <c r="S424" s="222"/>
      <c r="T424" s="222"/>
    </row>
    <row r="425" spans="1:20" ht="10.15" customHeight="1">
      <c r="A425" s="306"/>
      <c r="B425" s="307"/>
      <c r="C425" s="285"/>
      <c r="D425" s="299"/>
      <c r="E425" s="285"/>
      <c r="F425" s="285"/>
      <c r="G425" s="285"/>
      <c r="H425" s="285"/>
      <c r="I425" s="285"/>
      <c r="J425" s="285"/>
      <c r="K425" s="285"/>
      <c r="L425" s="285"/>
      <c r="M425" s="285"/>
      <c r="N425" s="285"/>
      <c r="O425" s="300"/>
      <c r="P425" s="301"/>
      <c r="Q425" s="222"/>
      <c r="R425" s="222"/>
      <c r="S425" s="222"/>
      <c r="T425" s="222"/>
    </row>
    <row r="426" spans="1:20" s="312" customFormat="1" ht="10.15" customHeight="1">
      <c r="A426" s="321" t="s">
        <v>47</v>
      </c>
      <c r="B426" s="322"/>
      <c r="C426" s="302">
        <f t="shared" ref="C426:N426" si="98">C424+C415+C410+C406+C400</f>
        <v>20233.7</v>
      </c>
      <c r="D426" s="302">
        <f t="shared" si="98"/>
        <v>23642</v>
      </c>
      <c r="E426" s="302">
        <f t="shared" si="98"/>
        <v>24715</v>
      </c>
      <c r="F426" s="302">
        <f t="shared" si="98"/>
        <v>15253</v>
      </c>
      <c r="G426" s="302">
        <f t="shared" si="98"/>
        <v>14167</v>
      </c>
      <c r="H426" s="302">
        <f t="shared" si="98"/>
        <v>24698</v>
      </c>
      <c r="I426" s="302">
        <f t="shared" si="98"/>
        <v>30987</v>
      </c>
      <c r="J426" s="302">
        <f t="shared" si="98"/>
        <v>32306</v>
      </c>
      <c r="K426" s="302">
        <f t="shared" si="98"/>
        <v>27331</v>
      </c>
      <c r="L426" s="302">
        <f t="shared" si="98"/>
        <v>32137</v>
      </c>
      <c r="M426" s="302">
        <f t="shared" si="98"/>
        <v>31176</v>
      </c>
      <c r="N426" s="302">
        <f t="shared" si="98"/>
        <v>34215</v>
      </c>
      <c r="O426" s="302">
        <f>SUM(C426:N426)</f>
        <v>310860.7</v>
      </c>
      <c r="P426" s="303">
        <f>O426/12</f>
        <v>25905.058333333334</v>
      </c>
      <c r="Q426" s="222"/>
      <c r="R426" s="222"/>
      <c r="S426" s="222"/>
      <c r="T426" s="222"/>
    </row>
    <row r="427" spans="1:20" ht="10.15" customHeight="1">
      <c r="A427" s="317"/>
      <c r="B427" s="318"/>
      <c r="C427" s="285"/>
      <c r="D427" s="285"/>
      <c r="E427" s="285"/>
      <c r="F427" s="285"/>
      <c r="G427" s="285"/>
      <c r="H427" s="285"/>
      <c r="I427" s="285"/>
      <c r="J427" s="285"/>
      <c r="K427" s="285"/>
      <c r="L427" s="285"/>
      <c r="M427" s="285"/>
      <c r="N427" s="285"/>
      <c r="O427" s="285"/>
      <c r="P427" s="286"/>
      <c r="Q427" s="222"/>
      <c r="R427" s="222"/>
      <c r="S427" s="222"/>
      <c r="T427" s="222"/>
    </row>
    <row r="428" spans="1:20" ht="10.15" customHeight="1">
      <c r="A428" s="315" t="s">
        <v>48</v>
      </c>
      <c r="B428" s="316"/>
      <c r="C428" s="285"/>
      <c r="D428" s="285"/>
      <c r="E428" s="285"/>
      <c r="F428" s="285"/>
      <c r="G428" s="285"/>
      <c r="H428" s="285"/>
      <c r="I428" s="285"/>
      <c r="J428" s="285"/>
      <c r="K428" s="285"/>
      <c r="L428" s="285"/>
      <c r="M428" s="285"/>
      <c r="N428" s="285"/>
      <c r="O428" s="285"/>
      <c r="P428" s="286"/>
      <c r="Q428" s="222"/>
      <c r="R428" s="222"/>
      <c r="S428" s="222"/>
      <c r="T428" s="222"/>
    </row>
    <row r="429" spans="1:20" ht="10.15" customHeight="1">
      <c r="A429" s="317"/>
      <c r="B429" s="318"/>
      <c r="C429" s="285"/>
      <c r="D429" s="285"/>
      <c r="E429" s="285"/>
      <c r="F429" s="285"/>
      <c r="G429" s="285"/>
      <c r="H429" s="285"/>
      <c r="I429" s="285"/>
      <c r="J429" s="285"/>
      <c r="K429" s="285"/>
      <c r="L429" s="285"/>
      <c r="M429" s="285"/>
      <c r="N429" s="285"/>
      <c r="O429" s="285"/>
      <c r="P429" s="286"/>
      <c r="Q429" s="222"/>
      <c r="R429" s="222"/>
      <c r="S429" s="222"/>
      <c r="T429" s="222"/>
    </row>
    <row r="430" spans="1:20" ht="10.15" customHeight="1" thickBot="1">
      <c r="A430" s="315" t="s">
        <v>6</v>
      </c>
      <c r="B430" s="316"/>
      <c r="C430" s="285">
        <f t="shared" ref="C430:N430" si="99">C388+C426</f>
        <v>40053.699999999997</v>
      </c>
      <c r="D430" s="285">
        <f t="shared" si="99"/>
        <v>41802</v>
      </c>
      <c r="E430" s="285">
        <f t="shared" si="99"/>
        <v>40355</v>
      </c>
      <c r="F430" s="285">
        <f t="shared" si="99"/>
        <v>21833</v>
      </c>
      <c r="G430" s="285">
        <f t="shared" si="99"/>
        <v>22287</v>
      </c>
      <c r="H430" s="285">
        <f t="shared" si="99"/>
        <v>40918</v>
      </c>
      <c r="I430" s="285">
        <f t="shared" si="99"/>
        <v>48387</v>
      </c>
      <c r="J430" s="285">
        <f t="shared" si="99"/>
        <v>57886</v>
      </c>
      <c r="K430" s="285">
        <f t="shared" si="99"/>
        <v>43531</v>
      </c>
      <c r="L430" s="285">
        <f t="shared" si="99"/>
        <v>54217</v>
      </c>
      <c r="M430" s="285">
        <f t="shared" si="99"/>
        <v>51956</v>
      </c>
      <c r="N430" s="285">
        <f t="shared" si="99"/>
        <v>55155</v>
      </c>
      <c r="O430" s="285">
        <f>SUM(C430:N430)</f>
        <v>518380.7</v>
      </c>
      <c r="P430" s="286">
        <f>O430/12</f>
        <v>43198.39166666667</v>
      </c>
      <c r="Q430" s="222"/>
      <c r="R430" s="222"/>
      <c r="S430" s="222"/>
      <c r="T430" s="222"/>
    </row>
    <row r="431" spans="1:20" ht="7.9" customHeight="1">
      <c r="A431" s="239"/>
      <c r="B431" s="240"/>
      <c r="C431" s="240"/>
      <c r="D431" s="240"/>
      <c r="E431" s="240"/>
      <c r="F431" s="240"/>
      <c r="G431" s="240"/>
      <c r="H431" s="240"/>
      <c r="I431" s="240"/>
      <c r="J431" s="240"/>
      <c r="K431" s="240"/>
      <c r="L431" s="240"/>
      <c r="M431" s="240"/>
      <c r="N431" s="240"/>
      <c r="O431" s="247"/>
      <c r="P431" s="248"/>
    </row>
    <row r="432" spans="1:20" ht="7.9" customHeight="1">
      <c r="A432" s="241"/>
      <c r="P432" s="250"/>
    </row>
    <row r="433" spans="1:17" ht="7.9" customHeight="1">
      <c r="A433" s="241"/>
      <c r="P433" s="250"/>
    </row>
    <row r="434" spans="1:17" ht="7.9" customHeight="1">
      <c r="A434" s="329" t="s">
        <v>0</v>
      </c>
      <c r="B434" s="330"/>
      <c r="C434" s="330"/>
      <c r="D434" s="330"/>
      <c r="E434" s="330"/>
      <c r="F434" s="330"/>
      <c r="G434" s="330"/>
      <c r="H434" s="330"/>
      <c r="I434" s="330"/>
      <c r="J434" s="330"/>
      <c r="K434" s="330"/>
      <c r="L434" s="330"/>
      <c r="M434" s="330"/>
      <c r="N434" s="330"/>
      <c r="O434" s="330"/>
      <c r="P434" s="331"/>
    </row>
    <row r="435" spans="1:17" ht="7.9" customHeight="1">
      <c r="A435" s="242"/>
      <c r="B435" s="222"/>
      <c r="C435" s="222"/>
      <c r="D435" s="222"/>
      <c r="E435" s="222"/>
      <c r="F435" s="222"/>
      <c r="G435" s="222"/>
      <c r="H435" s="222"/>
      <c r="I435" s="222"/>
      <c r="J435" s="222"/>
      <c r="K435" s="222"/>
      <c r="L435" s="222"/>
      <c r="M435" s="222"/>
      <c r="N435" s="222"/>
      <c r="O435" s="244"/>
      <c r="P435" s="304"/>
    </row>
    <row r="436" spans="1:17" ht="7.9" customHeight="1">
      <c r="A436" s="329" t="s">
        <v>55</v>
      </c>
      <c r="B436" s="330"/>
      <c r="C436" s="330"/>
      <c r="D436" s="330"/>
      <c r="E436" s="330"/>
      <c r="F436" s="330"/>
      <c r="G436" s="330"/>
      <c r="H436" s="330"/>
      <c r="I436" s="330"/>
      <c r="J436" s="330"/>
      <c r="K436" s="330"/>
      <c r="L436" s="330"/>
      <c r="M436" s="330"/>
      <c r="N436" s="330"/>
      <c r="O436" s="330"/>
      <c r="P436" s="331"/>
    </row>
    <row r="437" spans="1:17" ht="7.9" customHeight="1">
      <c r="A437" s="241"/>
      <c r="P437" s="250"/>
    </row>
    <row r="438" spans="1:17" ht="7.9" customHeight="1">
      <c r="A438" s="241"/>
      <c r="P438" s="250"/>
    </row>
    <row r="439" spans="1:17" ht="7.9" customHeight="1">
      <c r="A439" s="241"/>
      <c r="P439" s="250"/>
    </row>
    <row r="440" spans="1:17" ht="7.9" customHeight="1">
      <c r="A440" s="241"/>
      <c r="P440" s="250"/>
    </row>
    <row r="441" spans="1:17" ht="10.15" customHeight="1">
      <c r="A441" s="315"/>
      <c r="B441" s="316"/>
      <c r="C441" s="252">
        <v>44666</v>
      </c>
      <c r="D441" s="252">
        <v>44696</v>
      </c>
      <c r="E441" s="252">
        <v>44727</v>
      </c>
      <c r="F441" s="252">
        <v>44757</v>
      </c>
      <c r="G441" s="252">
        <v>44788</v>
      </c>
      <c r="H441" s="252">
        <v>44819</v>
      </c>
      <c r="I441" s="252">
        <v>44849</v>
      </c>
      <c r="J441" s="252">
        <v>44880</v>
      </c>
      <c r="K441" s="252">
        <v>44910</v>
      </c>
      <c r="L441" s="252">
        <v>44941</v>
      </c>
      <c r="M441" s="252">
        <v>44972</v>
      </c>
      <c r="N441" s="252">
        <v>45000</v>
      </c>
      <c r="O441" s="307" t="s">
        <v>2</v>
      </c>
      <c r="P441" s="253" t="s">
        <v>3</v>
      </c>
    </row>
    <row r="442" spans="1:17" ht="10.15" customHeight="1">
      <c r="A442" s="332"/>
      <c r="B442" s="333"/>
      <c r="C442" s="254"/>
      <c r="D442" s="254"/>
      <c r="E442" s="254"/>
      <c r="F442" s="254"/>
      <c r="G442" s="254"/>
      <c r="H442" s="254"/>
      <c r="I442" s="254"/>
      <c r="J442" s="254"/>
      <c r="K442" s="254"/>
      <c r="L442" s="254"/>
      <c r="M442" s="254"/>
      <c r="N442" s="254"/>
      <c r="O442" s="255"/>
      <c r="P442" s="256"/>
    </row>
    <row r="443" spans="1:17" s="310" customFormat="1" ht="10.15" customHeight="1">
      <c r="A443" s="317" t="s">
        <v>4</v>
      </c>
      <c r="B443" s="318"/>
      <c r="C443" s="282">
        <f t="shared" ref="C443:J443" si="100">C498/C502</f>
        <v>0.48041589517162797</v>
      </c>
      <c r="D443" s="282">
        <f t="shared" si="100"/>
        <v>0.58703331446749552</v>
      </c>
      <c r="E443" s="282">
        <f t="shared" si="100"/>
        <v>0.53318168331520122</v>
      </c>
      <c r="F443" s="282" t="e">
        <f t="shared" si="100"/>
        <v>#DIV/0!</v>
      </c>
      <c r="G443" s="282" t="e">
        <f t="shared" si="100"/>
        <v>#DIV/0!</v>
      </c>
      <c r="H443" s="282" t="e">
        <f t="shared" si="100"/>
        <v>#DIV/0!</v>
      </c>
      <c r="I443" s="282" t="e">
        <f t="shared" si="100"/>
        <v>#DIV/0!</v>
      </c>
      <c r="J443" s="282" t="e">
        <f t="shared" si="100"/>
        <v>#DIV/0!</v>
      </c>
      <c r="K443" s="282" t="e">
        <f>K498/K502</f>
        <v>#DIV/0!</v>
      </c>
      <c r="L443" s="282" t="e">
        <f>L498/L502</f>
        <v>#DIV/0!</v>
      </c>
      <c r="M443" s="282" t="e">
        <f>M498/M502</f>
        <v>#DIV/0!</v>
      </c>
      <c r="N443" s="282" t="e">
        <f>N498/N502</f>
        <v>#DIV/0!</v>
      </c>
      <c r="O443" s="283" t="e">
        <f>AVERAGE(C443:N443)</f>
        <v>#DIV/0!</v>
      </c>
      <c r="P443" s="284" t="e">
        <f>AVERAGE(C443:N443)</f>
        <v>#DIV/0!</v>
      </c>
      <c r="Q443" s="313"/>
    </row>
    <row r="444" spans="1:17" s="310" customFormat="1" ht="10.15" customHeight="1">
      <c r="A444" s="317" t="s">
        <v>5</v>
      </c>
      <c r="B444" s="318"/>
      <c r="C444" s="282">
        <f t="shared" ref="C444:J444" si="101">C460/C446</f>
        <v>0.51958410482837203</v>
      </c>
      <c r="D444" s="282">
        <f t="shared" si="101"/>
        <v>0.41296668553250454</v>
      </c>
      <c r="E444" s="282">
        <f t="shared" si="101"/>
        <v>0.46681831668479873</v>
      </c>
      <c r="F444" s="282" t="e">
        <f t="shared" si="101"/>
        <v>#DIV/0!</v>
      </c>
      <c r="G444" s="282" t="e">
        <f t="shared" si="101"/>
        <v>#DIV/0!</v>
      </c>
      <c r="H444" s="282" t="e">
        <f t="shared" si="101"/>
        <v>#DIV/0!</v>
      </c>
      <c r="I444" s="282" t="e">
        <f t="shared" si="101"/>
        <v>#DIV/0!</v>
      </c>
      <c r="J444" s="282" t="e">
        <f t="shared" si="101"/>
        <v>#DIV/0!</v>
      </c>
      <c r="K444" s="282" t="e">
        <f>K460/K446</f>
        <v>#DIV/0!</v>
      </c>
      <c r="L444" s="282" t="e">
        <f>L460/L446</f>
        <v>#DIV/0!</v>
      </c>
      <c r="M444" s="282" t="e">
        <f>M460/M446</f>
        <v>#DIV/0!</v>
      </c>
      <c r="N444" s="282" t="e">
        <f>N460/N446</f>
        <v>#DIV/0!</v>
      </c>
      <c r="O444" s="283" t="e">
        <f>AVERAGE(C444:N444)</f>
        <v>#DIV/0!</v>
      </c>
      <c r="P444" s="284" t="e">
        <f>AVERAGE(C444:N444)</f>
        <v>#DIV/0!</v>
      </c>
    </row>
    <row r="445" spans="1:17" ht="10.15" customHeight="1">
      <c r="A445" s="306"/>
      <c r="B445" s="307"/>
      <c r="C445" s="255"/>
      <c r="D445" s="255"/>
      <c r="E445" s="255"/>
      <c r="F445" s="255"/>
      <c r="G445" s="255"/>
      <c r="H445" s="255"/>
      <c r="I445" s="255"/>
      <c r="J445" s="255"/>
      <c r="K445" s="255"/>
      <c r="L445" s="255"/>
      <c r="M445" s="255"/>
      <c r="N445" s="255"/>
      <c r="O445" s="255"/>
      <c r="P445" s="256"/>
    </row>
    <row r="446" spans="1:17" s="314" customFormat="1" ht="10.15" customHeight="1">
      <c r="A446" s="317" t="s">
        <v>6</v>
      </c>
      <c r="B446" s="318"/>
      <c r="C446" s="285">
        <f>C502</f>
        <v>70210</v>
      </c>
      <c r="D446" s="285">
        <v>51239</v>
      </c>
      <c r="E446" s="285">
        <v>60666</v>
      </c>
      <c r="F446" s="285">
        <f t="shared" ref="F446:N446" si="102">F502</f>
        <v>0</v>
      </c>
      <c r="G446" s="285">
        <f t="shared" si="102"/>
        <v>0</v>
      </c>
      <c r="H446" s="285">
        <f t="shared" si="102"/>
        <v>0</v>
      </c>
      <c r="I446" s="285">
        <f t="shared" si="102"/>
        <v>0</v>
      </c>
      <c r="J446" s="285">
        <f t="shared" si="102"/>
        <v>0</v>
      </c>
      <c r="K446" s="285">
        <f t="shared" si="102"/>
        <v>0</v>
      </c>
      <c r="L446" s="285">
        <f t="shared" si="102"/>
        <v>0</v>
      </c>
      <c r="M446" s="285">
        <f t="shared" si="102"/>
        <v>0</v>
      </c>
      <c r="N446" s="285">
        <f t="shared" si="102"/>
        <v>0</v>
      </c>
      <c r="O446" s="285">
        <f>SUM(C446:N446)</f>
        <v>182115</v>
      </c>
      <c r="P446" s="286">
        <f>O446/1</f>
        <v>182115</v>
      </c>
    </row>
    <row r="447" spans="1:17" ht="10.15" customHeight="1">
      <c r="A447" s="317"/>
      <c r="B447" s="318"/>
      <c r="C447" s="255"/>
      <c r="D447" s="255"/>
      <c r="E447" s="255"/>
      <c r="F447" s="255"/>
      <c r="G447" s="255"/>
      <c r="H447" s="255"/>
      <c r="I447" s="255"/>
      <c r="J447" s="255"/>
      <c r="K447" s="255"/>
      <c r="L447" s="255"/>
      <c r="M447" s="255"/>
      <c r="N447" s="255"/>
      <c r="O447" s="255"/>
      <c r="P447" s="256"/>
    </row>
    <row r="448" spans="1:17" ht="10.15" customHeight="1">
      <c r="A448" s="327" t="s">
        <v>7</v>
      </c>
      <c r="B448" s="328"/>
      <c r="C448" s="252"/>
      <c r="D448" s="252"/>
      <c r="E448" s="252"/>
      <c r="F448" s="252"/>
      <c r="G448" s="252"/>
      <c r="H448" s="252"/>
      <c r="I448" s="252"/>
      <c r="J448" s="252"/>
      <c r="K448" s="252"/>
      <c r="L448" s="252"/>
      <c r="M448" s="252"/>
      <c r="N448" s="252"/>
      <c r="O448" s="285"/>
      <c r="P448" s="286"/>
    </row>
    <row r="449" spans="1:20" ht="10.15" customHeight="1">
      <c r="A449" s="315"/>
      <c r="B449" s="316"/>
      <c r="C449" s="255"/>
      <c r="D449" s="255"/>
      <c r="E449" s="255"/>
      <c r="F449" s="255"/>
      <c r="G449" s="255"/>
      <c r="H449" s="255"/>
      <c r="I449" s="255"/>
      <c r="J449" s="255"/>
      <c r="K449" s="255"/>
      <c r="L449" s="255"/>
      <c r="M449" s="255"/>
      <c r="N449" s="255"/>
      <c r="O449" s="255"/>
      <c r="P449" s="256"/>
    </row>
    <row r="450" spans="1:20" s="310" customFormat="1" ht="10.15" customHeight="1">
      <c r="A450" s="323" t="s">
        <v>8</v>
      </c>
      <c r="B450" s="324"/>
      <c r="C450" s="255"/>
      <c r="D450" s="255"/>
      <c r="E450" s="255"/>
      <c r="F450" s="255"/>
      <c r="G450" s="255"/>
      <c r="H450" s="255"/>
      <c r="I450" s="255"/>
      <c r="J450" s="255"/>
      <c r="K450" s="255"/>
      <c r="L450" s="255"/>
      <c r="M450" s="255"/>
      <c r="N450" s="255"/>
      <c r="O450" s="255"/>
      <c r="P450" s="256"/>
    </row>
    <row r="451" spans="1:20" s="310" customFormat="1" ht="10.15" customHeight="1">
      <c r="A451" s="323" t="s">
        <v>9</v>
      </c>
      <c r="B451" s="324"/>
      <c r="C451" s="287">
        <v>33120</v>
      </c>
      <c r="D451" s="287">
        <v>18700</v>
      </c>
      <c r="E451" s="287">
        <v>25420</v>
      </c>
      <c r="F451" s="287"/>
      <c r="G451" s="287"/>
      <c r="H451" s="287"/>
      <c r="I451" s="287"/>
      <c r="J451" s="287"/>
      <c r="K451" s="287"/>
      <c r="L451" s="287"/>
      <c r="M451" s="287"/>
      <c r="N451" s="287"/>
      <c r="O451" s="287">
        <f>SUM(C451:N451)</f>
        <v>77240</v>
      </c>
      <c r="P451" s="288">
        <f>O451/1</f>
        <v>77240</v>
      </c>
    </row>
    <row r="452" spans="1:20" ht="10.15" customHeight="1">
      <c r="A452" s="323"/>
      <c r="B452" s="324"/>
      <c r="C452" s="287"/>
      <c r="D452" s="287"/>
      <c r="E452" s="287"/>
      <c r="F452" s="287"/>
      <c r="G452" s="287"/>
      <c r="H452" s="287"/>
      <c r="I452" s="287"/>
      <c r="J452" s="287"/>
      <c r="K452" s="287"/>
      <c r="L452" s="287"/>
      <c r="M452" s="287"/>
      <c r="N452" s="287"/>
      <c r="O452" s="287"/>
      <c r="P452" s="288"/>
    </row>
    <row r="453" spans="1:20" s="310" customFormat="1" ht="10.15" customHeight="1">
      <c r="A453" s="323" t="s">
        <v>10</v>
      </c>
      <c r="B453" s="324"/>
      <c r="C453" s="287">
        <v>3360</v>
      </c>
      <c r="D453" s="287">
        <v>2460</v>
      </c>
      <c r="E453" s="287">
        <v>2900</v>
      </c>
      <c r="F453" s="287"/>
      <c r="G453" s="287"/>
      <c r="H453" s="287"/>
      <c r="I453" s="287"/>
      <c r="J453" s="287"/>
      <c r="K453" s="287"/>
      <c r="L453" s="287"/>
      <c r="M453" s="287"/>
      <c r="N453" s="287"/>
      <c r="O453" s="287"/>
      <c r="P453" s="288"/>
    </row>
    <row r="454" spans="1:20" s="310" customFormat="1" ht="10.15" customHeight="1">
      <c r="A454" s="323" t="s">
        <v>11</v>
      </c>
      <c r="B454" s="324"/>
      <c r="C454" s="289">
        <v>0</v>
      </c>
      <c r="D454" s="289"/>
      <c r="E454" s="289"/>
      <c r="F454" s="289"/>
      <c r="G454" s="289"/>
      <c r="H454" s="289"/>
      <c r="I454" s="289"/>
      <c r="J454" s="289"/>
      <c r="K454" s="289"/>
      <c r="L454" s="305"/>
      <c r="M454" s="289"/>
      <c r="N454" s="289"/>
      <c r="O454" s="287">
        <f>SUM(C454:N454)</f>
        <v>0</v>
      </c>
      <c r="P454" s="288">
        <f>O454/1</f>
        <v>0</v>
      </c>
    </row>
    <row r="455" spans="1:20" s="310" customFormat="1" ht="10.15" customHeight="1">
      <c r="A455" s="323" t="s">
        <v>12</v>
      </c>
      <c r="B455" s="324"/>
      <c r="C455" s="289">
        <v>0</v>
      </c>
      <c r="D455" s="289"/>
      <c r="E455" s="289"/>
      <c r="F455" s="289"/>
      <c r="G455" s="289"/>
      <c r="H455" s="289"/>
      <c r="I455" s="289"/>
      <c r="J455" s="289"/>
      <c r="K455" s="289"/>
      <c r="L455" s="289"/>
      <c r="M455" s="289"/>
      <c r="N455" s="289"/>
      <c r="O455" s="287">
        <f>SUM(C455:N455)</f>
        <v>0</v>
      </c>
      <c r="P455" s="288">
        <f>O455/1</f>
        <v>0</v>
      </c>
    </row>
    <row r="456" spans="1:20" s="310" customFormat="1" ht="10.15" customHeight="1">
      <c r="A456" s="323" t="s">
        <v>54</v>
      </c>
      <c r="B456" s="324"/>
      <c r="C456" s="289">
        <v>0</v>
      </c>
      <c r="D456" s="289"/>
      <c r="E456" s="289"/>
      <c r="F456" s="289"/>
      <c r="G456" s="289"/>
      <c r="H456" s="289"/>
      <c r="I456" s="289"/>
      <c r="J456" s="289"/>
      <c r="K456" s="289"/>
      <c r="L456" s="289"/>
      <c r="M456" s="289"/>
      <c r="N456" s="289"/>
      <c r="O456" s="287">
        <f>SUM(C456:N456)</f>
        <v>0</v>
      </c>
      <c r="P456" s="288">
        <f>O456/1</f>
        <v>0</v>
      </c>
    </row>
    <row r="457" spans="1:20" s="310" customFormat="1" ht="10.15" customHeight="1">
      <c r="A457" s="323" t="s">
        <v>14</v>
      </c>
      <c r="B457" s="324"/>
      <c r="C457" s="289">
        <v>0</v>
      </c>
      <c r="D457" s="289"/>
      <c r="E457" s="289"/>
      <c r="F457" s="289"/>
      <c r="G457" s="289"/>
      <c r="H457" s="289"/>
      <c r="I457" s="289"/>
      <c r="J457" s="289"/>
      <c r="K457" s="289"/>
      <c r="L457" s="289"/>
      <c r="M457" s="289"/>
      <c r="N457" s="289"/>
      <c r="O457" s="287">
        <f>SUM(C457:N457)</f>
        <v>0</v>
      </c>
      <c r="P457" s="288">
        <f>O457/1</f>
        <v>0</v>
      </c>
    </row>
    <row r="458" spans="1:20" s="310" customFormat="1" ht="10.15" customHeight="1">
      <c r="A458" s="323" t="s">
        <v>15</v>
      </c>
      <c r="B458" s="324"/>
      <c r="C458" s="290">
        <f>SUM(C453:C457)</f>
        <v>3360</v>
      </c>
      <c r="D458" s="290">
        <f t="shared" ref="D458:N458" si="103">SUM(D453:D457)</f>
        <v>2460</v>
      </c>
      <c r="E458" s="290">
        <f t="shared" si="103"/>
        <v>2900</v>
      </c>
      <c r="F458" s="290">
        <f t="shared" si="103"/>
        <v>0</v>
      </c>
      <c r="G458" s="290">
        <f t="shared" si="103"/>
        <v>0</v>
      </c>
      <c r="H458" s="290">
        <f t="shared" si="103"/>
        <v>0</v>
      </c>
      <c r="I458" s="290">
        <f t="shared" si="103"/>
        <v>0</v>
      </c>
      <c r="J458" s="290">
        <f t="shared" si="103"/>
        <v>0</v>
      </c>
      <c r="K458" s="290">
        <f t="shared" si="103"/>
        <v>0</v>
      </c>
      <c r="L458" s="290">
        <f t="shared" si="103"/>
        <v>0</v>
      </c>
      <c r="M458" s="290">
        <f t="shared" si="103"/>
        <v>0</v>
      </c>
      <c r="N458" s="290">
        <f t="shared" si="103"/>
        <v>0</v>
      </c>
      <c r="O458" s="290">
        <f>SUM(C458:N458)</f>
        <v>8720</v>
      </c>
      <c r="P458" s="291">
        <f>O458/1</f>
        <v>8720</v>
      </c>
    </row>
    <row r="459" spans="1:20" ht="10.15" customHeight="1">
      <c r="A459" s="317"/>
      <c r="B459" s="318"/>
      <c r="C459" s="255"/>
      <c r="D459" s="255"/>
      <c r="E459" s="255"/>
      <c r="F459" s="255"/>
      <c r="G459" s="255"/>
      <c r="H459" s="255"/>
      <c r="I459" s="255"/>
      <c r="J459" s="255"/>
      <c r="K459" s="255"/>
      <c r="L459" s="255"/>
      <c r="M459" s="255"/>
      <c r="N459" s="255"/>
      <c r="O459" s="255"/>
      <c r="P459" s="256"/>
    </row>
    <row r="460" spans="1:20" ht="10.15" customHeight="1">
      <c r="A460" s="325" t="s">
        <v>16</v>
      </c>
      <c r="B460" s="326"/>
      <c r="C460" s="290">
        <f>C451+C458</f>
        <v>36480</v>
      </c>
      <c r="D460" s="290">
        <f t="shared" ref="D460:N460" si="104">D451+D458</f>
        <v>21160</v>
      </c>
      <c r="E460" s="290">
        <f t="shared" si="104"/>
        <v>28320</v>
      </c>
      <c r="F460" s="290">
        <f t="shared" si="104"/>
        <v>0</v>
      </c>
      <c r="G460" s="290">
        <f t="shared" si="104"/>
        <v>0</v>
      </c>
      <c r="H460" s="290">
        <f t="shared" si="104"/>
        <v>0</v>
      </c>
      <c r="I460" s="290">
        <f t="shared" si="104"/>
        <v>0</v>
      </c>
      <c r="J460" s="290">
        <f t="shared" si="104"/>
        <v>0</v>
      </c>
      <c r="K460" s="290">
        <f t="shared" si="104"/>
        <v>0</v>
      </c>
      <c r="L460" s="290">
        <f t="shared" si="104"/>
        <v>0</v>
      </c>
      <c r="M460" s="290">
        <f t="shared" si="104"/>
        <v>0</v>
      </c>
      <c r="N460" s="290">
        <f t="shared" si="104"/>
        <v>0</v>
      </c>
      <c r="O460" s="290">
        <f>SUM(C460:N460)</f>
        <v>85960</v>
      </c>
      <c r="P460" s="291">
        <f>O460/1</f>
        <v>85960</v>
      </c>
    </row>
    <row r="461" spans="1:20" ht="10.15" customHeight="1">
      <c r="A461" s="317"/>
      <c r="B461" s="318"/>
      <c r="C461" s="255"/>
      <c r="D461" s="255"/>
      <c r="E461" s="255"/>
      <c r="F461" s="255"/>
      <c r="G461" s="255"/>
      <c r="H461" s="255"/>
      <c r="I461" s="255"/>
      <c r="J461" s="255"/>
      <c r="K461" s="255"/>
      <c r="L461" s="255"/>
      <c r="M461" s="255"/>
      <c r="N461" s="255"/>
      <c r="O461" s="255"/>
      <c r="P461" s="256"/>
    </row>
    <row r="462" spans="1:20" ht="10.15" customHeight="1">
      <c r="A462" s="321" t="s">
        <v>17</v>
      </c>
      <c r="B462" s="322"/>
      <c r="C462" s="252"/>
      <c r="D462" s="252"/>
      <c r="E462" s="252"/>
      <c r="F462" s="252"/>
      <c r="G462" s="252"/>
      <c r="H462" s="252"/>
      <c r="I462" s="252"/>
      <c r="J462" s="252"/>
      <c r="K462" s="252"/>
      <c r="L462" s="252"/>
      <c r="M462" s="252"/>
      <c r="N462" s="252"/>
      <c r="O462" s="252"/>
      <c r="P462" s="292"/>
    </row>
    <row r="463" spans="1:20" ht="10.15" customHeight="1">
      <c r="A463" s="315"/>
      <c r="B463" s="316"/>
      <c r="C463" s="255"/>
      <c r="D463" s="255"/>
      <c r="E463" s="255"/>
      <c r="F463" s="255"/>
      <c r="G463" s="255"/>
      <c r="H463" s="255"/>
      <c r="I463" s="255"/>
      <c r="J463" s="255"/>
      <c r="K463" s="255"/>
      <c r="L463" s="255"/>
      <c r="M463" s="255"/>
      <c r="N463" s="255"/>
      <c r="O463" s="255"/>
      <c r="P463" s="256"/>
    </row>
    <row r="464" spans="1:20" ht="10.15" customHeight="1">
      <c r="A464" s="319" t="s">
        <v>18</v>
      </c>
      <c r="B464" s="245" t="s">
        <v>19</v>
      </c>
      <c r="C464" s="293">
        <v>1420</v>
      </c>
      <c r="D464" s="293">
        <v>980</v>
      </c>
      <c r="E464" s="293">
        <v>1440</v>
      </c>
      <c r="F464" s="293"/>
      <c r="G464" s="293"/>
      <c r="H464" s="293"/>
      <c r="I464" s="293"/>
      <c r="J464" s="293"/>
      <c r="K464" s="293"/>
      <c r="L464" s="293"/>
      <c r="M464" s="293"/>
      <c r="N464" s="293"/>
      <c r="O464" s="294">
        <f>SUM(C464:N464)</f>
        <v>3840</v>
      </c>
      <c r="P464" s="295">
        <f>O464/1</f>
        <v>3840</v>
      </c>
      <c r="Q464" s="222"/>
      <c r="R464" s="222"/>
      <c r="S464" s="222"/>
      <c r="T464" s="222"/>
    </row>
    <row r="465" spans="1:20" ht="10.15" customHeight="1">
      <c r="A465" s="319"/>
      <c r="B465" s="245" t="s">
        <v>20</v>
      </c>
      <c r="C465" s="293">
        <v>0</v>
      </c>
      <c r="D465" s="293">
        <v>0</v>
      </c>
      <c r="E465" s="293">
        <v>0</v>
      </c>
      <c r="F465" s="293"/>
      <c r="G465" s="293"/>
      <c r="H465" s="293"/>
      <c r="I465" s="293"/>
      <c r="J465" s="293"/>
      <c r="K465" s="293"/>
      <c r="L465" s="293"/>
      <c r="M465" s="293"/>
      <c r="N465" s="293"/>
      <c r="O465" s="294">
        <f>SUM(C465:N465)</f>
        <v>0</v>
      </c>
      <c r="P465" s="295">
        <f t="shared" ref="P465:P471" si="105">O465/1</f>
        <v>0</v>
      </c>
      <c r="Q465" s="222"/>
      <c r="R465" s="222"/>
      <c r="S465" s="222"/>
      <c r="T465" s="222"/>
    </row>
    <row r="466" spans="1:20" ht="10.15" customHeight="1">
      <c r="A466" s="319"/>
      <c r="B466" s="245" t="s">
        <v>21</v>
      </c>
      <c r="C466" s="296">
        <v>0</v>
      </c>
      <c r="D466" s="296">
        <v>0</v>
      </c>
      <c r="E466" s="296">
        <v>0</v>
      </c>
      <c r="F466" s="296"/>
      <c r="G466" s="296"/>
      <c r="H466" s="296"/>
      <c r="I466" s="296"/>
      <c r="J466" s="296"/>
      <c r="K466" s="296"/>
      <c r="L466" s="296"/>
      <c r="M466" s="296"/>
      <c r="N466" s="296"/>
      <c r="O466" s="297">
        <f t="shared" ref="O466" si="106">SUM(C466:N466)</f>
        <v>0</v>
      </c>
      <c r="P466" s="298">
        <f t="shared" si="105"/>
        <v>0</v>
      </c>
      <c r="Q466" s="222"/>
      <c r="R466" s="222"/>
      <c r="S466" s="222"/>
      <c r="T466" s="222"/>
    </row>
    <row r="467" spans="1:20" ht="10.15" customHeight="1">
      <c r="A467" s="319"/>
      <c r="B467" s="245" t="s">
        <v>22</v>
      </c>
      <c r="C467" s="296">
        <v>960</v>
      </c>
      <c r="D467" s="296">
        <v>920</v>
      </c>
      <c r="E467" s="296">
        <v>740</v>
      </c>
      <c r="F467" s="296"/>
      <c r="G467" s="296"/>
      <c r="H467" s="296"/>
      <c r="I467" s="296"/>
      <c r="J467" s="296"/>
      <c r="K467" s="296"/>
      <c r="L467" s="296"/>
      <c r="M467" s="296"/>
      <c r="N467" s="296"/>
      <c r="O467" s="297">
        <f t="shared" ref="O467:O472" si="107">SUM(C467:N467)</f>
        <v>2620</v>
      </c>
      <c r="P467" s="298">
        <f>O467/1</f>
        <v>2620</v>
      </c>
      <c r="Q467" s="222"/>
      <c r="R467" s="222"/>
      <c r="S467" s="222"/>
      <c r="T467" s="222"/>
    </row>
    <row r="468" spans="1:20" ht="10.15" customHeight="1">
      <c r="A468" s="319"/>
      <c r="B468" s="245" t="s">
        <v>23</v>
      </c>
      <c r="C468" s="296">
        <v>380</v>
      </c>
      <c r="D468" s="296">
        <v>240</v>
      </c>
      <c r="E468" s="296">
        <v>0</v>
      </c>
      <c r="F468" s="296"/>
      <c r="G468" s="296"/>
      <c r="H468" s="296"/>
      <c r="I468" s="296"/>
      <c r="J468" s="296"/>
      <c r="K468" s="296"/>
      <c r="L468" s="296"/>
      <c r="M468" s="296"/>
      <c r="N468" s="296"/>
      <c r="O468" s="297">
        <f t="shared" si="107"/>
        <v>620</v>
      </c>
      <c r="P468" s="298">
        <f>O468/1</f>
        <v>620</v>
      </c>
      <c r="Q468" s="222"/>
      <c r="R468" s="222"/>
      <c r="S468" s="222"/>
      <c r="T468" s="222"/>
    </row>
    <row r="469" spans="1:20" ht="10.15" customHeight="1">
      <c r="A469" s="319"/>
      <c r="B469" s="245" t="s">
        <v>24</v>
      </c>
      <c r="C469" s="296">
        <v>0</v>
      </c>
      <c r="D469" s="296">
        <v>0</v>
      </c>
      <c r="E469" s="296">
        <v>0</v>
      </c>
      <c r="F469" s="296"/>
      <c r="G469" s="296"/>
      <c r="H469" s="296"/>
      <c r="I469" s="296"/>
      <c r="J469" s="296"/>
      <c r="K469" s="296"/>
      <c r="L469" s="296"/>
      <c r="M469" s="296"/>
      <c r="N469" s="296"/>
      <c r="O469" s="297">
        <f t="shared" si="107"/>
        <v>0</v>
      </c>
      <c r="P469" s="298">
        <f t="shared" si="105"/>
        <v>0</v>
      </c>
      <c r="Q469" s="222"/>
      <c r="R469" s="222"/>
      <c r="S469" s="222"/>
      <c r="T469" s="222"/>
    </row>
    <row r="470" spans="1:20" ht="10.15" customHeight="1">
      <c r="A470" s="319"/>
      <c r="B470" s="245" t="s">
        <v>25</v>
      </c>
      <c r="C470" s="296">
        <v>1420</v>
      </c>
      <c r="D470" s="296">
        <v>0</v>
      </c>
      <c r="E470" s="296">
        <v>0</v>
      </c>
      <c r="F470" s="296"/>
      <c r="G470" s="296"/>
      <c r="H470" s="296"/>
      <c r="I470" s="296"/>
      <c r="J470" s="296"/>
      <c r="K470" s="296"/>
      <c r="L470" s="296"/>
      <c r="M470" s="296"/>
      <c r="N470" s="296"/>
      <c r="O470" s="297">
        <f t="shared" si="107"/>
        <v>1420</v>
      </c>
      <c r="P470" s="298">
        <f>O470/1</f>
        <v>1420</v>
      </c>
      <c r="Q470" s="222"/>
      <c r="R470" s="222"/>
      <c r="S470" s="222"/>
      <c r="T470" s="222"/>
    </row>
    <row r="471" spans="1:20" ht="10.15" customHeight="1">
      <c r="A471" s="319"/>
      <c r="B471" s="245" t="s">
        <v>26</v>
      </c>
      <c r="C471" s="296">
        <v>0</v>
      </c>
      <c r="D471" s="296">
        <v>0</v>
      </c>
      <c r="E471" s="296">
        <v>0</v>
      </c>
      <c r="F471" s="296"/>
      <c r="G471" s="296"/>
      <c r="H471" s="296"/>
      <c r="I471" s="296"/>
      <c r="J471" s="296"/>
      <c r="K471" s="296"/>
      <c r="L471" s="296"/>
      <c r="M471" s="296"/>
      <c r="N471" s="296"/>
      <c r="O471" s="297">
        <f t="shared" si="107"/>
        <v>0</v>
      </c>
      <c r="P471" s="298">
        <f t="shared" si="105"/>
        <v>0</v>
      </c>
      <c r="Q471" s="222"/>
      <c r="R471" s="222"/>
      <c r="S471" s="222"/>
      <c r="T471" s="222"/>
    </row>
    <row r="472" spans="1:20" ht="10.15" customHeight="1">
      <c r="A472" s="319" t="s">
        <v>27</v>
      </c>
      <c r="B472" s="320"/>
      <c r="C472" s="297">
        <f>SUM(C464:C471)</f>
        <v>4180</v>
      </c>
      <c r="D472" s="297">
        <f t="shared" ref="D472:N472" si="108">SUM(D464:D471)</f>
        <v>2140</v>
      </c>
      <c r="E472" s="297">
        <f t="shared" si="108"/>
        <v>2180</v>
      </c>
      <c r="F472" s="297">
        <f t="shared" si="108"/>
        <v>0</v>
      </c>
      <c r="G472" s="297">
        <f t="shared" si="108"/>
        <v>0</v>
      </c>
      <c r="H472" s="297">
        <f t="shared" si="108"/>
        <v>0</v>
      </c>
      <c r="I472" s="297">
        <f t="shared" si="108"/>
        <v>0</v>
      </c>
      <c r="J472" s="297">
        <f t="shared" si="108"/>
        <v>0</v>
      </c>
      <c r="K472" s="297">
        <f t="shared" si="108"/>
        <v>0</v>
      </c>
      <c r="L472" s="297">
        <f t="shared" si="108"/>
        <v>0</v>
      </c>
      <c r="M472" s="297">
        <f t="shared" si="108"/>
        <v>0</v>
      </c>
      <c r="N472" s="297">
        <f t="shared" si="108"/>
        <v>0</v>
      </c>
      <c r="O472" s="297">
        <f t="shared" si="107"/>
        <v>8500</v>
      </c>
      <c r="P472" s="298">
        <f>O472/1</f>
        <v>8500</v>
      </c>
      <c r="Q472" s="222"/>
      <c r="R472" s="222"/>
      <c r="S472" s="222"/>
      <c r="T472" s="222"/>
    </row>
    <row r="473" spans="1:20" ht="10.15" customHeight="1">
      <c r="A473" s="308"/>
      <c r="B473" s="246"/>
      <c r="C473" s="297"/>
      <c r="D473" s="297"/>
      <c r="E473" s="297"/>
      <c r="F473" s="297"/>
      <c r="G473" s="297"/>
      <c r="H473" s="297"/>
      <c r="I473" s="297"/>
      <c r="J473" s="297"/>
      <c r="K473" s="297"/>
      <c r="L473" s="297"/>
      <c r="M473" s="297"/>
      <c r="N473" s="297"/>
      <c r="O473" s="297"/>
      <c r="P473" s="298"/>
      <c r="Q473" s="222"/>
      <c r="R473" s="222"/>
      <c r="S473" s="222"/>
      <c r="T473" s="222"/>
    </row>
    <row r="474" spans="1:20" ht="10.15" customHeight="1">
      <c r="A474" s="319" t="s">
        <v>28</v>
      </c>
      <c r="B474" s="245" t="s">
        <v>29</v>
      </c>
      <c r="C474" s="296">
        <v>1120</v>
      </c>
      <c r="D474" s="296">
        <v>800</v>
      </c>
      <c r="E474" s="296">
        <v>600</v>
      </c>
      <c r="F474" s="296"/>
      <c r="G474" s="296"/>
      <c r="H474" s="296"/>
      <c r="I474" s="296"/>
      <c r="J474" s="296"/>
      <c r="K474" s="296"/>
      <c r="L474" s="296"/>
      <c r="M474" s="296"/>
      <c r="N474" s="296"/>
      <c r="O474" s="297">
        <f>SUM(C474:N474)</f>
        <v>2520</v>
      </c>
      <c r="P474" s="298">
        <f>O474/1</f>
        <v>2520</v>
      </c>
      <c r="Q474" s="222"/>
      <c r="R474" s="222"/>
      <c r="S474" s="222"/>
      <c r="T474" s="222"/>
    </row>
    <row r="475" spans="1:20" ht="10.15" customHeight="1">
      <c r="A475" s="319"/>
      <c r="B475" s="245" t="s">
        <v>30</v>
      </c>
      <c r="C475" s="296">
        <v>2000</v>
      </c>
      <c r="D475" s="296">
        <v>2406</v>
      </c>
      <c r="E475" s="296">
        <v>2140</v>
      </c>
      <c r="F475" s="296"/>
      <c r="G475" s="296"/>
      <c r="H475" s="296"/>
      <c r="I475" s="296"/>
      <c r="J475" s="296"/>
      <c r="K475" s="296"/>
      <c r="L475" s="296"/>
      <c r="M475" s="296"/>
      <c r="N475" s="296"/>
      <c r="O475" s="297">
        <f>SUM(C475:N475)</f>
        <v>6546</v>
      </c>
      <c r="P475" s="298">
        <f>O475/1</f>
        <v>6546</v>
      </c>
      <c r="Q475" s="222"/>
      <c r="R475" s="222"/>
      <c r="S475" s="222"/>
      <c r="T475" s="222"/>
    </row>
    <row r="476" spans="1:20" ht="10.15" customHeight="1">
      <c r="A476" s="319"/>
      <c r="B476" s="245" t="s">
        <v>31</v>
      </c>
      <c r="C476" s="296">
        <v>5400</v>
      </c>
      <c r="D476" s="296">
        <v>3860</v>
      </c>
      <c r="E476" s="296">
        <v>3780</v>
      </c>
      <c r="F476" s="296"/>
      <c r="G476" s="296"/>
      <c r="H476" s="296"/>
      <c r="I476" s="296"/>
      <c r="J476" s="296"/>
      <c r="K476" s="296"/>
      <c r="L476" s="296"/>
      <c r="M476" s="296"/>
      <c r="N476" s="296"/>
      <c r="O476" s="297">
        <f>SUM(C476:N476)</f>
        <v>13040</v>
      </c>
      <c r="P476" s="298">
        <f>O476/1</f>
        <v>13040</v>
      </c>
      <c r="Q476" s="222"/>
      <c r="R476" s="222"/>
      <c r="S476" s="222"/>
      <c r="T476" s="222"/>
    </row>
    <row r="477" spans="1:20" ht="10.15" customHeight="1">
      <c r="A477" s="319"/>
      <c r="B477" s="245" t="s">
        <v>32</v>
      </c>
      <c r="C477" s="296"/>
      <c r="D477" s="296">
        <v>1020</v>
      </c>
      <c r="E477" s="296">
        <v>260</v>
      </c>
      <c r="F477" s="296"/>
      <c r="G477" s="296"/>
      <c r="H477" s="296"/>
      <c r="I477" s="296"/>
      <c r="J477" s="296"/>
      <c r="K477" s="296"/>
      <c r="L477" s="296"/>
      <c r="M477" s="296"/>
      <c r="N477" s="296"/>
      <c r="O477" s="297">
        <f>SUM(C477:N477)</f>
        <v>1280</v>
      </c>
      <c r="P477" s="298">
        <f>O477/1</f>
        <v>1280</v>
      </c>
      <c r="Q477" s="222"/>
      <c r="R477" s="222"/>
      <c r="S477" s="222"/>
      <c r="T477" s="222"/>
    </row>
    <row r="478" spans="1:20" ht="10.15" customHeight="1">
      <c r="A478" s="319" t="s">
        <v>27</v>
      </c>
      <c r="B478" s="320"/>
      <c r="C478" s="297">
        <f>SUM(C474:C477)</f>
        <v>8520</v>
      </c>
      <c r="D478" s="297">
        <f t="shared" ref="D478:N478" si="109">SUM(D474:D477)</f>
        <v>8086</v>
      </c>
      <c r="E478" s="297">
        <f t="shared" si="109"/>
        <v>6780</v>
      </c>
      <c r="F478" s="297">
        <f t="shared" si="109"/>
        <v>0</v>
      </c>
      <c r="G478" s="297">
        <f t="shared" si="109"/>
        <v>0</v>
      </c>
      <c r="H478" s="297">
        <f t="shared" si="109"/>
        <v>0</v>
      </c>
      <c r="I478" s="297">
        <f t="shared" si="109"/>
        <v>0</v>
      </c>
      <c r="J478" s="297">
        <f t="shared" si="109"/>
        <v>0</v>
      </c>
      <c r="K478" s="297">
        <f t="shared" si="109"/>
        <v>0</v>
      </c>
      <c r="L478" s="297">
        <f t="shared" si="109"/>
        <v>0</v>
      </c>
      <c r="M478" s="297">
        <f t="shared" si="109"/>
        <v>0</v>
      </c>
      <c r="N478" s="297">
        <f t="shared" si="109"/>
        <v>0</v>
      </c>
      <c r="O478" s="297">
        <f>SUM(C478:N478)</f>
        <v>23386</v>
      </c>
      <c r="P478" s="298">
        <f>O478/1</f>
        <v>23386</v>
      </c>
      <c r="Q478" s="222"/>
      <c r="R478" s="222"/>
      <c r="S478" s="222"/>
      <c r="T478" s="222"/>
    </row>
    <row r="479" spans="1:20" ht="10.15" customHeight="1">
      <c r="A479" s="308"/>
      <c r="B479" s="246"/>
      <c r="C479" s="297"/>
      <c r="D479" s="297"/>
      <c r="E479" s="297"/>
      <c r="F479" s="297"/>
      <c r="G479" s="297"/>
      <c r="H479" s="297"/>
      <c r="I479" s="297"/>
      <c r="J479" s="297"/>
      <c r="K479" s="297"/>
      <c r="L479" s="297"/>
      <c r="M479" s="297"/>
      <c r="N479" s="297"/>
      <c r="O479" s="297"/>
      <c r="P479" s="298"/>
      <c r="Q479" s="222"/>
      <c r="R479" s="222"/>
      <c r="S479" s="222"/>
      <c r="T479" s="222"/>
    </row>
    <row r="480" spans="1:20" ht="10.15" customHeight="1">
      <c r="A480" s="319" t="s">
        <v>33</v>
      </c>
      <c r="B480" s="245" t="s">
        <v>34</v>
      </c>
      <c r="C480" s="296">
        <v>0</v>
      </c>
      <c r="D480" s="296"/>
      <c r="E480" s="296">
        <v>0</v>
      </c>
      <c r="F480" s="296"/>
      <c r="G480" s="296"/>
      <c r="H480" s="296"/>
      <c r="I480" s="296"/>
      <c r="J480" s="296"/>
      <c r="K480" s="296"/>
      <c r="L480" s="296"/>
      <c r="M480" s="296"/>
      <c r="N480" s="296"/>
      <c r="O480" s="294">
        <f>SUM(C480:N480)</f>
        <v>0</v>
      </c>
      <c r="P480" s="295">
        <f>O480/1</f>
        <v>0</v>
      </c>
      <c r="Q480" s="222"/>
      <c r="R480" s="222"/>
      <c r="S480" s="222"/>
      <c r="T480" s="222"/>
    </row>
    <row r="481" spans="1:20" ht="10.15" customHeight="1">
      <c r="A481" s="319"/>
      <c r="B481" s="245" t="s">
        <v>35</v>
      </c>
      <c r="C481" s="296">
        <v>0</v>
      </c>
      <c r="D481" s="296"/>
      <c r="E481" s="296">
        <v>0</v>
      </c>
      <c r="F481" s="296"/>
      <c r="G481" s="296"/>
      <c r="H481" s="296"/>
      <c r="I481" s="296"/>
      <c r="J481" s="296"/>
      <c r="K481" s="296"/>
      <c r="L481" s="296"/>
      <c r="M481" s="296"/>
      <c r="N481" s="296"/>
      <c r="O481" s="294">
        <f>SUM(C481:N481)</f>
        <v>0</v>
      </c>
      <c r="P481" s="295">
        <f>O481/1</f>
        <v>0</v>
      </c>
      <c r="Q481" s="222"/>
      <c r="R481" s="222"/>
      <c r="S481" s="222"/>
      <c r="T481" s="222"/>
    </row>
    <row r="482" spans="1:20" ht="10.15" customHeight="1">
      <c r="A482" s="319" t="s">
        <v>27</v>
      </c>
      <c r="B482" s="320"/>
      <c r="C482" s="297">
        <f>SUM(C480:C481)</f>
        <v>0</v>
      </c>
      <c r="D482" s="297">
        <f t="shared" ref="D482:N482" si="110">SUM(D480:D481)</f>
        <v>0</v>
      </c>
      <c r="E482" s="297">
        <f t="shared" si="110"/>
        <v>0</v>
      </c>
      <c r="F482" s="297">
        <f t="shared" si="110"/>
        <v>0</v>
      </c>
      <c r="G482" s="297">
        <f t="shared" si="110"/>
        <v>0</v>
      </c>
      <c r="H482" s="297">
        <f t="shared" si="110"/>
        <v>0</v>
      </c>
      <c r="I482" s="297">
        <f t="shared" si="110"/>
        <v>0</v>
      </c>
      <c r="J482" s="297">
        <f t="shared" si="110"/>
        <v>0</v>
      </c>
      <c r="K482" s="297">
        <f t="shared" si="110"/>
        <v>0</v>
      </c>
      <c r="L482" s="297">
        <f t="shared" si="110"/>
        <v>0</v>
      </c>
      <c r="M482" s="297">
        <f t="shared" si="110"/>
        <v>0</v>
      </c>
      <c r="N482" s="297">
        <f t="shared" si="110"/>
        <v>0</v>
      </c>
      <c r="O482" s="294">
        <f>SUM(C482:N482)</f>
        <v>0</v>
      </c>
      <c r="P482" s="295">
        <f>O482/1</f>
        <v>0</v>
      </c>
      <c r="Q482" s="222"/>
      <c r="R482" s="222"/>
      <c r="S482" s="222"/>
      <c r="T482" s="222"/>
    </row>
    <row r="483" spans="1:20" ht="10.15" customHeight="1">
      <c r="A483" s="308"/>
      <c r="B483" s="246"/>
      <c r="C483" s="297"/>
      <c r="D483" s="297"/>
      <c r="E483" s="297"/>
      <c r="F483" s="297"/>
      <c r="G483" s="297"/>
      <c r="H483" s="297"/>
      <c r="I483" s="297"/>
      <c r="J483" s="297"/>
      <c r="K483" s="297"/>
      <c r="L483" s="297"/>
      <c r="M483" s="297"/>
      <c r="N483" s="297"/>
      <c r="O483" s="294"/>
      <c r="P483" s="295"/>
      <c r="Q483" s="222"/>
      <c r="R483" s="222"/>
      <c r="S483" s="222"/>
      <c r="T483" s="222"/>
    </row>
    <row r="484" spans="1:20" ht="10.15" customHeight="1">
      <c r="A484" s="319" t="s">
        <v>36</v>
      </c>
      <c r="B484" s="245" t="s">
        <v>37</v>
      </c>
      <c r="C484" s="296">
        <v>0</v>
      </c>
      <c r="D484" s="296"/>
      <c r="E484" s="296">
        <v>0</v>
      </c>
      <c r="F484" s="296"/>
      <c r="G484" s="296"/>
      <c r="H484" s="296"/>
      <c r="I484" s="296"/>
      <c r="J484" s="296"/>
      <c r="K484" s="296"/>
      <c r="L484" s="296"/>
      <c r="M484" s="296"/>
      <c r="N484" s="296"/>
      <c r="O484" s="294">
        <f>SUM(C484:N484)</f>
        <v>0</v>
      </c>
      <c r="P484" s="295">
        <f>O484/1</f>
        <v>0</v>
      </c>
      <c r="Q484" s="222"/>
      <c r="R484" s="222"/>
      <c r="S484" s="222"/>
      <c r="T484" s="222"/>
    </row>
    <row r="485" spans="1:20" ht="10.15" customHeight="1">
      <c r="A485" s="319"/>
      <c r="B485" s="245" t="s">
        <v>38</v>
      </c>
      <c r="C485" s="296">
        <v>502</v>
      </c>
      <c r="D485" s="296">
        <v>493</v>
      </c>
      <c r="E485" s="296">
        <v>542</v>
      </c>
      <c r="F485" s="296"/>
      <c r="G485" s="296"/>
      <c r="H485" s="296"/>
      <c r="I485" s="296"/>
      <c r="J485" s="296"/>
      <c r="K485" s="296"/>
      <c r="L485" s="296"/>
      <c r="M485" s="296"/>
      <c r="N485" s="296"/>
      <c r="O485" s="294">
        <f>SUM(C485:N485)</f>
        <v>1537</v>
      </c>
      <c r="P485" s="295">
        <f>O485/1</f>
        <v>1537</v>
      </c>
      <c r="Q485" s="222"/>
      <c r="R485" s="222"/>
      <c r="S485" s="222"/>
      <c r="T485" s="222"/>
    </row>
    <row r="486" spans="1:20" ht="10.15" customHeight="1">
      <c r="A486" s="319"/>
      <c r="B486" s="245" t="s">
        <v>39</v>
      </c>
      <c r="C486" s="296">
        <v>0</v>
      </c>
      <c r="D486" s="296"/>
      <c r="E486" s="296"/>
      <c r="F486" s="296"/>
      <c r="G486" s="296"/>
      <c r="H486" s="296"/>
      <c r="I486" s="296"/>
      <c r="J486" s="296"/>
      <c r="K486" s="296"/>
      <c r="L486" s="296"/>
      <c r="M486" s="296"/>
      <c r="N486" s="296"/>
      <c r="O486" s="294">
        <f>SUM(C486:N486)</f>
        <v>0</v>
      </c>
      <c r="P486" s="295">
        <f>O486/1</f>
        <v>0</v>
      </c>
      <c r="Q486" s="222"/>
      <c r="R486" s="222"/>
      <c r="S486" s="222"/>
      <c r="T486" s="222"/>
    </row>
    <row r="487" spans="1:20" ht="10.15" customHeight="1">
      <c r="A487" s="319" t="s">
        <v>27</v>
      </c>
      <c r="B487" s="320"/>
      <c r="C487" s="285">
        <f>SUM(C484:C486)</f>
        <v>502</v>
      </c>
      <c r="D487" s="285">
        <f t="shared" ref="D487:N487" si="111">SUM(D484:D486)</f>
        <v>493</v>
      </c>
      <c r="E487" s="285">
        <f t="shared" si="111"/>
        <v>542</v>
      </c>
      <c r="F487" s="285">
        <f t="shared" si="111"/>
        <v>0</v>
      </c>
      <c r="G487" s="285">
        <f t="shared" si="111"/>
        <v>0</v>
      </c>
      <c r="H487" s="285">
        <f t="shared" si="111"/>
        <v>0</v>
      </c>
      <c r="I487" s="285">
        <f t="shared" si="111"/>
        <v>0</v>
      </c>
      <c r="J487" s="285">
        <f t="shared" si="111"/>
        <v>0</v>
      </c>
      <c r="K487" s="285">
        <f t="shared" si="111"/>
        <v>0</v>
      </c>
      <c r="L487" s="285">
        <f t="shared" si="111"/>
        <v>0</v>
      </c>
      <c r="M487" s="285">
        <f t="shared" si="111"/>
        <v>0</v>
      </c>
      <c r="N487" s="285">
        <f t="shared" si="111"/>
        <v>0</v>
      </c>
      <c r="O487" s="294">
        <f>SUM(C487:N487)</f>
        <v>1537</v>
      </c>
      <c r="P487" s="295">
        <f>O487/1</f>
        <v>1537</v>
      </c>
      <c r="Q487" s="222"/>
      <c r="R487" s="222"/>
      <c r="S487" s="222"/>
      <c r="T487" s="222"/>
    </row>
    <row r="488" spans="1:20" ht="10.15" customHeight="1">
      <c r="A488" s="308"/>
      <c r="B488" s="246"/>
      <c r="C488" s="297"/>
      <c r="D488" s="297"/>
      <c r="E488" s="297"/>
      <c r="F488" s="297"/>
      <c r="G488" s="297"/>
      <c r="H488" s="297"/>
      <c r="I488" s="297"/>
      <c r="J488" s="297"/>
      <c r="K488" s="297"/>
      <c r="L488" s="297"/>
      <c r="M488" s="297"/>
      <c r="N488" s="297"/>
      <c r="O488" s="294"/>
      <c r="P488" s="295"/>
      <c r="Q488" s="222"/>
      <c r="R488" s="222"/>
      <c r="S488" s="222"/>
      <c r="T488" s="222"/>
    </row>
    <row r="489" spans="1:20" ht="10.15" customHeight="1">
      <c r="A489" s="319" t="s">
        <v>13</v>
      </c>
      <c r="B489" s="245" t="s">
        <v>40</v>
      </c>
      <c r="C489" s="296">
        <v>136</v>
      </c>
      <c r="D489" s="296">
        <v>116</v>
      </c>
      <c r="E489" s="296">
        <v>201</v>
      </c>
      <c r="F489" s="296"/>
      <c r="G489" s="296"/>
      <c r="H489" s="296"/>
      <c r="I489" s="296"/>
      <c r="J489" s="296"/>
      <c r="K489" s="296"/>
      <c r="L489" s="296"/>
      <c r="M489" s="296"/>
      <c r="N489" s="296"/>
      <c r="O489" s="297">
        <f t="shared" ref="O489:O496" si="112">SUM(C489:N489)</f>
        <v>453</v>
      </c>
      <c r="P489" s="298">
        <f>O489/1</f>
        <v>453</v>
      </c>
      <c r="Q489" s="222"/>
      <c r="R489" s="222"/>
      <c r="S489" s="222"/>
      <c r="T489" s="222"/>
    </row>
    <row r="490" spans="1:20" ht="10.15" customHeight="1">
      <c r="A490" s="319"/>
      <c r="B490" s="245" t="s">
        <v>41</v>
      </c>
      <c r="C490" s="296">
        <v>0</v>
      </c>
      <c r="D490" s="296">
        <v>0</v>
      </c>
      <c r="E490" s="296">
        <v>0</v>
      </c>
      <c r="F490" s="296"/>
      <c r="G490" s="296"/>
      <c r="H490" s="296"/>
      <c r="I490" s="296"/>
      <c r="J490" s="296"/>
      <c r="K490" s="296"/>
      <c r="L490" s="296"/>
      <c r="M490" s="296"/>
      <c r="N490" s="296"/>
      <c r="O490" s="297">
        <f t="shared" si="112"/>
        <v>0</v>
      </c>
      <c r="P490" s="298">
        <f t="shared" ref="P490:P494" si="113">O490/1</f>
        <v>0</v>
      </c>
      <c r="Q490" s="222"/>
      <c r="R490" s="222"/>
      <c r="S490" s="222"/>
      <c r="T490" s="222"/>
    </row>
    <row r="491" spans="1:20" ht="10.15" customHeight="1">
      <c r="A491" s="319"/>
      <c r="B491" s="245" t="s">
        <v>42</v>
      </c>
      <c r="C491" s="296">
        <v>560</v>
      </c>
      <c r="D491" s="296">
        <v>0</v>
      </c>
      <c r="E491" s="296">
        <v>380</v>
      </c>
      <c r="F491" s="296"/>
      <c r="G491" s="296"/>
      <c r="H491" s="296"/>
      <c r="I491" s="296"/>
      <c r="J491" s="296"/>
      <c r="K491" s="296"/>
      <c r="L491" s="296"/>
      <c r="M491" s="296"/>
      <c r="N491" s="296"/>
      <c r="O491" s="297">
        <f t="shared" si="112"/>
        <v>940</v>
      </c>
      <c r="P491" s="298">
        <f>O491/1</f>
        <v>940</v>
      </c>
      <c r="Q491" s="222"/>
      <c r="R491" s="222"/>
      <c r="S491" s="222"/>
      <c r="T491" s="222"/>
    </row>
    <row r="492" spans="1:20" ht="10.15" customHeight="1">
      <c r="A492" s="319"/>
      <c r="B492" s="245" t="s">
        <v>43</v>
      </c>
      <c r="C492" s="296">
        <v>3443</v>
      </c>
      <c r="D492" s="296">
        <v>3152</v>
      </c>
      <c r="E492" s="296">
        <v>2932</v>
      </c>
      <c r="F492" s="296"/>
      <c r="G492" s="296"/>
      <c r="H492" s="296"/>
      <c r="I492" s="296"/>
      <c r="J492" s="296"/>
      <c r="K492" s="296"/>
      <c r="L492" s="296"/>
      <c r="M492" s="296"/>
      <c r="N492" s="296"/>
      <c r="O492" s="297">
        <f t="shared" si="112"/>
        <v>9527</v>
      </c>
      <c r="P492" s="298">
        <f>O492/1</f>
        <v>9527</v>
      </c>
      <c r="Q492" s="222"/>
      <c r="R492" s="222"/>
      <c r="S492" s="222"/>
      <c r="T492" s="222"/>
    </row>
    <row r="493" spans="1:20" ht="10.15" customHeight="1">
      <c r="A493" s="319"/>
      <c r="B493" s="245" t="s">
        <v>44</v>
      </c>
      <c r="C493" s="296">
        <v>0</v>
      </c>
      <c r="D493" s="296">
        <v>0</v>
      </c>
      <c r="E493" s="296">
        <v>0</v>
      </c>
      <c r="F493" s="296"/>
      <c r="G493" s="296"/>
      <c r="H493" s="296"/>
      <c r="I493" s="296"/>
      <c r="J493" s="296"/>
      <c r="K493" s="296"/>
      <c r="L493" s="296"/>
      <c r="M493" s="296"/>
      <c r="N493" s="296"/>
      <c r="O493" s="297">
        <f t="shared" si="112"/>
        <v>0</v>
      </c>
      <c r="P493" s="298">
        <f t="shared" si="113"/>
        <v>0</v>
      </c>
      <c r="Q493" s="222"/>
      <c r="R493" s="222"/>
      <c r="S493" s="222"/>
      <c r="T493" s="222"/>
    </row>
    <row r="494" spans="1:20" ht="10.15" customHeight="1">
      <c r="A494" s="319"/>
      <c r="B494" s="245" t="s">
        <v>45</v>
      </c>
      <c r="C494" s="296">
        <v>0</v>
      </c>
      <c r="D494" s="296">
        <v>0</v>
      </c>
      <c r="E494" s="296">
        <v>0</v>
      </c>
      <c r="F494" s="296"/>
      <c r="G494" s="296"/>
      <c r="H494" s="296"/>
      <c r="I494" s="296"/>
      <c r="J494" s="296"/>
      <c r="K494" s="296"/>
      <c r="L494" s="296"/>
      <c r="M494" s="296"/>
      <c r="N494" s="296"/>
      <c r="O494" s="297">
        <f t="shared" si="112"/>
        <v>0</v>
      </c>
      <c r="P494" s="298">
        <f t="shared" si="113"/>
        <v>0</v>
      </c>
      <c r="Q494" s="222"/>
      <c r="R494" s="222"/>
      <c r="S494" s="222"/>
      <c r="T494" s="222"/>
    </row>
    <row r="495" spans="1:20" ht="10.15" customHeight="1">
      <c r="A495" s="319"/>
      <c r="B495" s="245" t="s">
        <v>46</v>
      </c>
      <c r="C495" s="296">
        <v>16389</v>
      </c>
      <c r="D495" s="296">
        <v>16092</v>
      </c>
      <c r="E495" s="296">
        <v>19331</v>
      </c>
      <c r="F495" s="296"/>
      <c r="G495" s="296"/>
      <c r="H495" s="296"/>
      <c r="I495" s="296"/>
      <c r="J495" s="296"/>
      <c r="K495" s="296"/>
      <c r="L495" s="296"/>
      <c r="M495" s="296"/>
      <c r="N495" s="296"/>
      <c r="O495" s="297">
        <f t="shared" si="112"/>
        <v>51812</v>
      </c>
      <c r="P495" s="298">
        <f>O495/1</f>
        <v>51812</v>
      </c>
      <c r="Q495" s="222"/>
      <c r="R495" s="222"/>
      <c r="S495" s="222"/>
      <c r="T495" s="222"/>
    </row>
    <row r="496" spans="1:20" ht="10.15" customHeight="1">
      <c r="A496" s="319" t="s">
        <v>27</v>
      </c>
      <c r="B496" s="320"/>
      <c r="C496" s="285">
        <f>SUM(C489:C495)</f>
        <v>20528</v>
      </c>
      <c r="D496" s="285">
        <f>SUM(D489:D495)</f>
        <v>19360</v>
      </c>
      <c r="E496" s="285">
        <f t="shared" ref="E496:N496" si="114">SUM(E489:E495)</f>
        <v>22844</v>
      </c>
      <c r="F496" s="285">
        <f t="shared" si="114"/>
        <v>0</v>
      </c>
      <c r="G496" s="285">
        <f t="shared" si="114"/>
        <v>0</v>
      </c>
      <c r="H496" s="285">
        <f t="shared" si="114"/>
        <v>0</v>
      </c>
      <c r="I496" s="285">
        <f t="shared" si="114"/>
        <v>0</v>
      </c>
      <c r="J496" s="285">
        <f t="shared" si="114"/>
        <v>0</v>
      </c>
      <c r="K496" s="285">
        <f t="shared" si="114"/>
        <v>0</v>
      </c>
      <c r="L496" s="285">
        <f t="shared" si="114"/>
        <v>0</v>
      </c>
      <c r="M496" s="285">
        <f t="shared" si="114"/>
        <v>0</v>
      </c>
      <c r="N496" s="285">
        <f t="shared" si="114"/>
        <v>0</v>
      </c>
      <c r="O496" s="294">
        <f t="shared" si="112"/>
        <v>62732</v>
      </c>
      <c r="P496" s="295">
        <f>O496/1</f>
        <v>62732</v>
      </c>
      <c r="Q496" s="222"/>
      <c r="R496" s="222"/>
      <c r="S496" s="222"/>
      <c r="T496" s="222"/>
    </row>
    <row r="497" spans="1:20" ht="10.15" customHeight="1">
      <c r="A497" s="306"/>
      <c r="B497" s="307"/>
      <c r="C497" s="285"/>
      <c r="D497" s="299"/>
      <c r="E497" s="285"/>
      <c r="F497" s="285"/>
      <c r="G497" s="285"/>
      <c r="H497" s="285"/>
      <c r="I497" s="285"/>
      <c r="J497" s="285"/>
      <c r="K497" s="285"/>
      <c r="L497" s="285"/>
      <c r="M497" s="285"/>
      <c r="N497" s="285"/>
      <c r="O497" s="300"/>
      <c r="P497" s="301"/>
      <c r="Q497" s="222"/>
      <c r="R497" s="222"/>
      <c r="S497" s="222"/>
      <c r="T497" s="222"/>
    </row>
    <row r="498" spans="1:20" s="312" customFormat="1" ht="10.15" customHeight="1">
      <c r="A498" s="321" t="s">
        <v>47</v>
      </c>
      <c r="B498" s="322"/>
      <c r="C498" s="302">
        <f>C496+C487+C482+C478+C472</f>
        <v>33730</v>
      </c>
      <c r="D498" s="302">
        <f t="shared" ref="D498:N498" si="115">D496+D487+D482+D478+D472</f>
        <v>30079</v>
      </c>
      <c r="E498" s="302">
        <f t="shared" si="115"/>
        <v>32346</v>
      </c>
      <c r="F498" s="302">
        <f t="shared" si="115"/>
        <v>0</v>
      </c>
      <c r="G498" s="302">
        <f t="shared" si="115"/>
        <v>0</v>
      </c>
      <c r="H498" s="302">
        <f t="shared" si="115"/>
        <v>0</v>
      </c>
      <c r="I498" s="302">
        <f t="shared" si="115"/>
        <v>0</v>
      </c>
      <c r="J498" s="302">
        <f t="shared" si="115"/>
        <v>0</v>
      </c>
      <c r="K498" s="302">
        <f t="shared" si="115"/>
        <v>0</v>
      </c>
      <c r="L498" s="302">
        <f t="shared" si="115"/>
        <v>0</v>
      </c>
      <c r="M498" s="302">
        <f t="shared" si="115"/>
        <v>0</v>
      </c>
      <c r="N498" s="302">
        <f t="shared" si="115"/>
        <v>0</v>
      </c>
      <c r="O498" s="302">
        <f>SUM(C498:N498)</f>
        <v>96155</v>
      </c>
      <c r="P498" s="303">
        <f>O498/1</f>
        <v>96155</v>
      </c>
      <c r="Q498" s="222"/>
      <c r="R498" s="222"/>
      <c r="S498" s="222"/>
      <c r="T498" s="222"/>
    </row>
    <row r="499" spans="1:20" ht="10.15" customHeight="1">
      <c r="A499" s="317"/>
      <c r="B499" s="318"/>
      <c r="C499" s="285"/>
      <c r="D499" s="285"/>
      <c r="E499" s="285"/>
      <c r="F499" s="285"/>
      <c r="G499" s="285"/>
      <c r="H499" s="285"/>
      <c r="I499" s="285"/>
      <c r="J499" s="285"/>
      <c r="K499" s="285"/>
      <c r="L499" s="285"/>
      <c r="M499" s="285"/>
      <c r="N499" s="285"/>
      <c r="O499" s="285"/>
      <c r="P499" s="286"/>
      <c r="Q499" s="222"/>
      <c r="R499" s="222"/>
      <c r="S499" s="222"/>
      <c r="T499" s="222"/>
    </row>
    <row r="500" spans="1:20" ht="10.15" customHeight="1">
      <c r="A500" s="315" t="s">
        <v>48</v>
      </c>
      <c r="B500" s="316"/>
      <c r="C500" s="285"/>
      <c r="D500" s="285"/>
      <c r="E500" s="285"/>
      <c r="F500" s="285"/>
      <c r="G500" s="285"/>
      <c r="H500" s="285"/>
      <c r="I500" s="285"/>
      <c r="J500" s="285"/>
      <c r="K500" s="285"/>
      <c r="L500" s="285"/>
      <c r="M500" s="285"/>
      <c r="N500" s="285"/>
      <c r="O500" s="285"/>
      <c r="P500" s="286"/>
      <c r="Q500" s="222"/>
      <c r="R500" s="222"/>
      <c r="S500" s="222"/>
      <c r="T500" s="222"/>
    </row>
    <row r="501" spans="1:20" ht="10.15" customHeight="1">
      <c r="A501" s="317"/>
      <c r="B501" s="318"/>
      <c r="C501" s="285"/>
      <c r="D501" s="285"/>
      <c r="E501" s="285"/>
      <c r="F501" s="285"/>
      <c r="G501" s="285"/>
      <c r="H501" s="285"/>
      <c r="I501" s="285"/>
      <c r="J501" s="285"/>
      <c r="K501" s="285"/>
      <c r="L501" s="285"/>
      <c r="M501" s="285"/>
      <c r="N501" s="285"/>
      <c r="O501" s="285"/>
      <c r="P501" s="286"/>
      <c r="Q501" s="222"/>
      <c r="R501" s="222"/>
      <c r="S501" s="222"/>
      <c r="T501" s="222"/>
    </row>
    <row r="502" spans="1:20" ht="10.15" customHeight="1">
      <c r="A502" s="315" t="s">
        <v>6</v>
      </c>
      <c r="B502" s="316"/>
      <c r="C502" s="285">
        <f>C460+C498</f>
        <v>70210</v>
      </c>
      <c r="D502" s="285">
        <f t="shared" ref="D502:N502" si="116">D460+D498</f>
        <v>51239</v>
      </c>
      <c r="E502" s="285">
        <f t="shared" si="116"/>
        <v>60666</v>
      </c>
      <c r="F502" s="285">
        <f t="shared" si="116"/>
        <v>0</v>
      </c>
      <c r="G502" s="285">
        <f t="shared" si="116"/>
        <v>0</v>
      </c>
      <c r="H502" s="285">
        <f t="shared" si="116"/>
        <v>0</v>
      </c>
      <c r="I502" s="285">
        <f t="shared" si="116"/>
        <v>0</v>
      </c>
      <c r="J502" s="285">
        <f t="shared" si="116"/>
        <v>0</v>
      </c>
      <c r="K502" s="285">
        <f t="shared" si="116"/>
        <v>0</v>
      </c>
      <c r="L502" s="285">
        <f t="shared" si="116"/>
        <v>0</v>
      </c>
      <c r="M502" s="285">
        <f t="shared" si="116"/>
        <v>0</v>
      </c>
      <c r="N502" s="285">
        <f t="shared" si="116"/>
        <v>0</v>
      </c>
      <c r="O502" s="285">
        <f>SUM(C502:N502)</f>
        <v>182115</v>
      </c>
      <c r="P502" s="286">
        <f>O502/1</f>
        <v>182115</v>
      </c>
      <c r="Q502" s="222"/>
      <c r="R502" s="222"/>
      <c r="S502" s="222"/>
      <c r="T502" s="222"/>
    </row>
  </sheetData>
  <mergeCells count="273">
    <mergeCell ref="A500:B500"/>
    <mergeCell ref="A501:B501"/>
    <mergeCell ref="A502:B502"/>
    <mergeCell ref="A478:B478"/>
    <mergeCell ref="A480:A481"/>
    <mergeCell ref="A482:B482"/>
    <mergeCell ref="A484:A486"/>
    <mergeCell ref="A487:B487"/>
    <mergeCell ref="A489:A495"/>
    <mergeCell ref="A496:B496"/>
    <mergeCell ref="A498:B498"/>
    <mergeCell ref="A499:B499"/>
    <mergeCell ref="A458:B458"/>
    <mergeCell ref="A459:B459"/>
    <mergeCell ref="A460:B460"/>
    <mergeCell ref="A461:B461"/>
    <mergeCell ref="A462:B462"/>
    <mergeCell ref="A463:B463"/>
    <mergeCell ref="A464:A471"/>
    <mergeCell ref="A472:B472"/>
    <mergeCell ref="A474:A477"/>
    <mergeCell ref="A449:B449"/>
    <mergeCell ref="A450:B450"/>
    <mergeCell ref="A451:B451"/>
    <mergeCell ref="A452:B452"/>
    <mergeCell ref="A453:B453"/>
    <mergeCell ref="A454:B454"/>
    <mergeCell ref="A455:B455"/>
    <mergeCell ref="A456:B456"/>
    <mergeCell ref="A457:B457"/>
    <mergeCell ref="A434:P434"/>
    <mergeCell ref="A436:P436"/>
    <mergeCell ref="A441:B441"/>
    <mergeCell ref="A442:B442"/>
    <mergeCell ref="A443:B443"/>
    <mergeCell ref="A444:B444"/>
    <mergeCell ref="A446:B446"/>
    <mergeCell ref="A447:B447"/>
    <mergeCell ref="A448:B448"/>
    <mergeCell ref="A14:B14"/>
    <mergeCell ref="A4:P4"/>
    <mergeCell ref="A6:P6"/>
    <mergeCell ref="A11:B11"/>
    <mergeCell ref="A12:B12"/>
    <mergeCell ref="A13:B13"/>
    <mergeCell ref="A27:B27"/>
    <mergeCell ref="A16:B16"/>
    <mergeCell ref="A17:B17"/>
    <mergeCell ref="A18:B18"/>
    <mergeCell ref="A19:B19"/>
    <mergeCell ref="A20:B20"/>
    <mergeCell ref="A21:B21"/>
    <mergeCell ref="A22:B22"/>
    <mergeCell ref="A23:B23"/>
    <mergeCell ref="A24:B24"/>
    <mergeCell ref="A25:B25"/>
    <mergeCell ref="A26:B26"/>
    <mergeCell ref="A52:B52"/>
    <mergeCell ref="A28:B28"/>
    <mergeCell ref="A29:B29"/>
    <mergeCell ref="A30:B30"/>
    <mergeCell ref="A31:B31"/>
    <mergeCell ref="A32:B32"/>
    <mergeCell ref="A33:B33"/>
    <mergeCell ref="A34:A41"/>
    <mergeCell ref="A42:B42"/>
    <mergeCell ref="A44:A47"/>
    <mergeCell ref="A48:B48"/>
    <mergeCell ref="A50:A51"/>
    <mergeCell ref="A76:P76"/>
    <mergeCell ref="A80:P80"/>
    <mergeCell ref="A84:B84"/>
    <mergeCell ref="A85:B85"/>
    <mergeCell ref="A86:B86"/>
    <mergeCell ref="A70:B70"/>
    <mergeCell ref="A71:B71"/>
    <mergeCell ref="A72:B72"/>
    <mergeCell ref="A54:A56"/>
    <mergeCell ref="A57:B57"/>
    <mergeCell ref="A59:A65"/>
    <mergeCell ref="A66:B66"/>
    <mergeCell ref="A68:B68"/>
    <mergeCell ref="A69:B69"/>
    <mergeCell ref="A93:B93"/>
    <mergeCell ref="A94:B94"/>
    <mergeCell ref="A95:B95"/>
    <mergeCell ref="A96:B96"/>
    <mergeCell ref="A97:B97"/>
    <mergeCell ref="A87:B87"/>
    <mergeCell ref="A89:B89"/>
    <mergeCell ref="A90:B90"/>
    <mergeCell ref="A91:B91"/>
    <mergeCell ref="A92:B92"/>
    <mergeCell ref="A103:B103"/>
    <mergeCell ref="A104:B104"/>
    <mergeCell ref="A105:B105"/>
    <mergeCell ref="A106:B106"/>
    <mergeCell ref="A107:A114"/>
    <mergeCell ref="A98:B98"/>
    <mergeCell ref="A99:B99"/>
    <mergeCell ref="A100:B100"/>
    <mergeCell ref="A101:B101"/>
    <mergeCell ref="A102:B102"/>
    <mergeCell ref="A127:A129"/>
    <mergeCell ref="A130:B130"/>
    <mergeCell ref="A132:A138"/>
    <mergeCell ref="A139:B139"/>
    <mergeCell ref="A141:B141"/>
    <mergeCell ref="A115:B115"/>
    <mergeCell ref="A117:A120"/>
    <mergeCell ref="A121:B121"/>
    <mergeCell ref="A123:A124"/>
    <mergeCell ref="A125:B125"/>
    <mergeCell ref="A151:P151"/>
    <mergeCell ref="A155:B155"/>
    <mergeCell ref="A156:B156"/>
    <mergeCell ref="A157:B157"/>
    <mergeCell ref="A158:B158"/>
    <mergeCell ref="A142:B142"/>
    <mergeCell ref="A143:B143"/>
    <mergeCell ref="A144:B144"/>
    <mergeCell ref="A145:B145"/>
    <mergeCell ref="A149:P149"/>
    <mergeCell ref="A165:B165"/>
    <mergeCell ref="A166:B166"/>
    <mergeCell ref="A167:B167"/>
    <mergeCell ref="A168:B168"/>
    <mergeCell ref="A169:B169"/>
    <mergeCell ref="A160:B160"/>
    <mergeCell ref="A161:B161"/>
    <mergeCell ref="A162:B162"/>
    <mergeCell ref="A163:B163"/>
    <mergeCell ref="A164:B164"/>
    <mergeCell ref="A175:B175"/>
    <mergeCell ref="A176:B176"/>
    <mergeCell ref="A177:B177"/>
    <mergeCell ref="A178:A185"/>
    <mergeCell ref="A186:B186"/>
    <mergeCell ref="A170:B170"/>
    <mergeCell ref="A171:B171"/>
    <mergeCell ref="A172:B172"/>
    <mergeCell ref="A173:B173"/>
    <mergeCell ref="A174:B174"/>
    <mergeCell ref="A201:B201"/>
    <mergeCell ref="A203:A209"/>
    <mergeCell ref="A210:B210"/>
    <mergeCell ref="A212:B212"/>
    <mergeCell ref="A213:B213"/>
    <mergeCell ref="A188:A191"/>
    <mergeCell ref="A192:B192"/>
    <mergeCell ref="A194:A195"/>
    <mergeCell ref="A196:B196"/>
    <mergeCell ref="A198:A200"/>
    <mergeCell ref="A221:P221"/>
    <mergeCell ref="A225:B225"/>
    <mergeCell ref="A226:B226"/>
    <mergeCell ref="A227:B227"/>
    <mergeCell ref="A228:B228"/>
    <mergeCell ref="A214:B214"/>
    <mergeCell ref="A215:B215"/>
    <mergeCell ref="A216:B216"/>
    <mergeCell ref="A219:P219"/>
    <mergeCell ref="A235:B235"/>
    <mergeCell ref="A236:B236"/>
    <mergeCell ref="A237:B237"/>
    <mergeCell ref="A238:B238"/>
    <mergeCell ref="A239:B239"/>
    <mergeCell ref="A230:B230"/>
    <mergeCell ref="A231:B231"/>
    <mergeCell ref="A232:B232"/>
    <mergeCell ref="A233:B233"/>
    <mergeCell ref="A234:B234"/>
    <mergeCell ref="A245:B245"/>
    <mergeCell ref="A246:B246"/>
    <mergeCell ref="A247:B247"/>
    <mergeCell ref="A248:A255"/>
    <mergeCell ref="A256:B256"/>
    <mergeCell ref="A240:B240"/>
    <mergeCell ref="A241:B241"/>
    <mergeCell ref="A242:B242"/>
    <mergeCell ref="A243:B243"/>
    <mergeCell ref="A244:B244"/>
    <mergeCell ref="A271:B271"/>
    <mergeCell ref="A273:A279"/>
    <mergeCell ref="A280:B280"/>
    <mergeCell ref="A282:B282"/>
    <mergeCell ref="A283:B283"/>
    <mergeCell ref="A258:A261"/>
    <mergeCell ref="A262:B262"/>
    <mergeCell ref="A264:A265"/>
    <mergeCell ref="A266:B266"/>
    <mergeCell ref="A268:A270"/>
    <mergeCell ref="A292:P292"/>
    <mergeCell ref="A297:B297"/>
    <mergeCell ref="A298:B298"/>
    <mergeCell ref="A299:B299"/>
    <mergeCell ref="A300:B300"/>
    <mergeCell ref="A284:B284"/>
    <mergeCell ref="A285:B285"/>
    <mergeCell ref="A286:B286"/>
    <mergeCell ref="A290:P290"/>
    <mergeCell ref="A307:B307"/>
    <mergeCell ref="A308:B308"/>
    <mergeCell ref="A309:B309"/>
    <mergeCell ref="A310:B310"/>
    <mergeCell ref="A311:B311"/>
    <mergeCell ref="A302:B302"/>
    <mergeCell ref="A303:B303"/>
    <mergeCell ref="A304:B304"/>
    <mergeCell ref="A305:B305"/>
    <mergeCell ref="A306:B306"/>
    <mergeCell ref="A317:B317"/>
    <mergeCell ref="A318:B318"/>
    <mergeCell ref="A319:B319"/>
    <mergeCell ref="A320:A327"/>
    <mergeCell ref="A328:B328"/>
    <mergeCell ref="A312:B312"/>
    <mergeCell ref="A313:B313"/>
    <mergeCell ref="A314:B314"/>
    <mergeCell ref="A315:B315"/>
    <mergeCell ref="A316:B316"/>
    <mergeCell ref="A343:B343"/>
    <mergeCell ref="A345:A351"/>
    <mergeCell ref="A352:B352"/>
    <mergeCell ref="A354:B354"/>
    <mergeCell ref="A355:B355"/>
    <mergeCell ref="A330:A333"/>
    <mergeCell ref="A334:B334"/>
    <mergeCell ref="A336:A337"/>
    <mergeCell ref="A338:B338"/>
    <mergeCell ref="A340:A342"/>
    <mergeCell ref="A364:P364"/>
    <mergeCell ref="A369:B369"/>
    <mergeCell ref="A370:B370"/>
    <mergeCell ref="A371:B371"/>
    <mergeCell ref="A372:B372"/>
    <mergeCell ref="A356:B356"/>
    <mergeCell ref="A357:B357"/>
    <mergeCell ref="A358:B358"/>
    <mergeCell ref="A362:P362"/>
    <mergeCell ref="A379:B379"/>
    <mergeCell ref="A380:B380"/>
    <mergeCell ref="A381:B381"/>
    <mergeCell ref="A382:B382"/>
    <mergeCell ref="A383:B383"/>
    <mergeCell ref="A374:B374"/>
    <mergeCell ref="A375:B375"/>
    <mergeCell ref="A376:B376"/>
    <mergeCell ref="A377:B377"/>
    <mergeCell ref="A378:B378"/>
    <mergeCell ref="A389:B389"/>
    <mergeCell ref="A390:B390"/>
    <mergeCell ref="A391:B391"/>
    <mergeCell ref="A392:A399"/>
    <mergeCell ref="A400:B400"/>
    <mergeCell ref="A384:B384"/>
    <mergeCell ref="A385:B385"/>
    <mergeCell ref="A386:B386"/>
    <mergeCell ref="A387:B387"/>
    <mergeCell ref="A388:B388"/>
    <mergeCell ref="A428:B428"/>
    <mergeCell ref="A429:B429"/>
    <mergeCell ref="A430:B430"/>
    <mergeCell ref="A415:B415"/>
    <mergeCell ref="A417:A423"/>
    <mergeCell ref="A424:B424"/>
    <mergeCell ref="A426:B426"/>
    <mergeCell ref="A427:B427"/>
    <mergeCell ref="A402:A405"/>
    <mergeCell ref="A406:B406"/>
    <mergeCell ref="A408:A409"/>
    <mergeCell ref="A410:B410"/>
    <mergeCell ref="A412:A414"/>
  </mergeCells>
  <printOptions verticalCentered="1"/>
  <pageMargins left="0.7" right="0.7" top="0.75" bottom="0.75" header="0.3" footer="0.3"/>
  <pageSetup paperSize="9" scale="70" firstPageNumber="0" fitToHeight="0" orientation="landscape" r:id="rId1"/>
  <headerFooter>
    <oddHeader>&amp;C&amp;"Calibri"&amp;10&amp;K000000Confidential&amp;1#_x000D_&amp;"Calibri"&amp;11&amp;K000000&amp;10&amp;A</oddHeader>
    <oddFooter>&amp;C&amp;10Page &amp;P&amp;R&amp;1#&amp;"Calibri"&amp;10&amp;K000000Confidential</oddFooter>
  </headerFooter>
  <rowBreaks count="5" manualBreakCount="5">
    <brk id="72" max="15" man="1"/>
    <brk id="216" max="15" man="1"/>
    <brk id="286" max="15" man="1"/>
    <brk id="358" max="15" man="1"/>
    <brk id="430" max="1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61AF5-6BF5-491F-B79B-B3BEBBB965CA}">
  <sheetPr>
    <pageSetUpPr fitToPage="1"/>
  </sheetPr>
  <dimension ref="A1:AA76"/>
  <sheetViews>
    <sheetView showGridLines="0" tabSelected="1" view="pageBreakPreview" topLeftCell="N10" zoomScaleNormal="70" zoomScaleSheetLayoutView="100" workbookViewId="0">
      <selection activeCell="W1" sqref="W1:W1048576"/>
    </sheetView>
  </sheetViews>
  <sheetFormatPr defaultColWidth="8.75" defaultRowHeight="8.25"/>
  <cols>
    <col min="1" max="1" width="12.5" style="7" customWidth="1"/>
    <col min="2" max="2" width="20.125" style="7" customWidth="1"/>
    <col min="3" max="20" width="9.125" style="7" customWidth="1"/>
    <col min="21" max="23" width="10" style="9" customWidth="1"/>
    <col min="24" max="34" width="12.625" style="7" customWidth="1"/>
    <col min="35" max="1033" width="10.625" style="7" customWidth="1"/>
    <col min="1034" max="16384" width="8.75" style="7"/>
  </cols>
  <sheetData>
    <row r="1" spans="1:24" ht="7.9" customHeight="1">
      <c r="A1" s="3"/>
      <c r="B1" s="4"/>
      <c r="C1" s="4"/>
      <c r="D1" s="4"/>
      <c r="E1" s="4"/>
      <c r="F1" s="4"/>
      <c r="G1" s="4"/>
      <c r="H1" s="4"/>
      <c r="I1" s="4"/>
      <c r="J1" s="4"/>
      <c r="K1" s="4"/>
      <c r="L1" s="4"/>
      <c r="M1" s="4"/>
      <c r="N1" s="4"/>
      <c r="O1" s="4"/>
      <c r="P1" s="4"/>
      <c r="Q1" s="4"/>
      <c r="R1" s="4"/>
      <c r="S1" s="4"/>
      <c r="T1" s="4"/>
      <c r="U1" s="5"/>
      <c r="V1" s="6"/>
      <c r="W1" s="6"/>
    </row>
    <row r="2" spans="1:24" ht="7.9" customHeight="1">
      <c r="A2" s="8"/>
      <c r="V2" s="10"/>
      <c r="W2" s="10"/>
    </row>
    <row r="3" spans="1:24" ht="7.9" customHeight="1">
      <c r="A3" s="8"/>
      <c r="V3" s="10"/>
      <c r="W3" s="10"/>
    </row>
    <row r="4" spans="1:24" ht="7.9" customHeight="1">
      <c r="A4" s="359" t="s">
        <v>0</v>
      </c>
      <c r="B4" s="360"/>
      <c r="C4" s="360"/>
      <c r="D4" s="360"/>
      <c r="E4" s="360"/>
      <c r="F4" s="360"/>
      <c r="G4" s="360"/>
      <c r="H4" s="360"/>
      <c r="I4" s="360"/>
      <c r="J4" s="360"/>
      <c r="K4" s="360"/>
      <c r="L4" s="360"/>
      <c r="M4" s="360"/>
      <c r="N4" s="360"/>
      <c r="O4" s="360"/>
      <c r="P4" s="360"/>
      <c r="Q4" s="360"/>
      <c r="R4" s="360"/>
      <c r="S4" s="360"/>
      <c r="T4" s="360"/>
      <c r="U4" s="360"/>
      <c r="V4" s="361"/>
      <c r="W4" s="19"/>
    </row>
    <row r="5" spans="1:24" ht="7.9" customHeight="1">
      <c r="A5" s="11"/>
      <c r="B5" s="12"/>
      <c r="C5" s="12"/>
      <c r="D5" s="12"/>
      <c r="E5" s="12"/>
      <c r="F5" s="12"/>
      <c r="G5" s="12"/>
      <c r="H5" s="12"/>
      <c r="I5" s="12"/>
      <c r="J5" s="12"/>
      <c r="K5" s="12"/>
      <c r="L5" s="12"/>
      <c r="M5" s="12"/>
      <c r="N5" s="12"/>
      <c r="O5" s="12"/>
      <c r="P5" s="12"/>
      <c r="Q5" s="12"/>
      <c r="R5" s="12"/>
      <c r="S5" s="12"/>
      <c r="T5" s="12"/>
      <c r="U5" s="19"/>
      <c r="V5" s="20"/>
      <c r="W5" s="20"/>
    </row>
    <row r="6" spans="1:24" ht="7.9" customHeight="1">
      <c r="A6" s="359"/>
      <c r="B6" s="360"/>
      <c r="C6" s="360"/>
      <c r="D6" s="360"/>
      <c r="E6" s="360"/>
      <c r="F6" s="360"/>
      <c r="G6" s="360"/>
      <c r="H6" s="360"/>
      <c r="I6" s="360"/>
      <c r="J6" s="360"/>
      <c r="K6" s="360"/>
      <c r="L6" s="360"/>
      <c r="M6" s="360"/>
      <c r="N6" s="360"/>
      <c r="O6" s="360"/>
      <c r="P6" s="360"/>
      <c r="Q6" s="360"/>
      <c r="R6" s="360"/>
      <c r="S6" s="360"/>
      <c r="T6" s="360"/>
      <c r="U6" s="360"/>
      <c r="V6" s="361"/>
      <c r="W6" s="19"/>
    </row>
    <row r="7" spans="1:24" ht="7.9" customHeight="1">
      <c r="A7" s="8"/>
      <c r="V7" s="10"/>
      <c r="W7" s="10"/>
    </row>
    <row r="8" spans="1:24" ht="7.9" customHeight="1">
      <c r="A8" s="8"/>
      <c r="V8" s="10"/>
      <c r="W8" s="10"/>
    </row>
    <row r="9" spans="1:24" s="9" customFormat="1" ht="7.9" customHeight="1" thickBot="1">
      <c r="A9" s="101"/>
      <c r="D9" s="9">
        <v>1</v>
      </c>
      <c r="G9" s="9">
        <v>2</v>
      </c>
      <c r="J9" s="9">
        <v>3</v>
      </c>
      <c r="M9" s="9">
        <v>4</v>
      </c>
      <c r="P9" s="9">
        <v>5</v>
      </c>
      <c r="V9" s="10"/>
      <c r="W9" s="10"/>
    </row>
    <row r="10" spans="1:24" ht="7.9" customHeight="1">
      <c r="A10" s="362"/>
      <c r="B10" s="363"/>
      <c r="C10" s="334" t="s">
        <v>1</v>
      </c>
      <c r="D10" s="335"/>
      <c r="E10" s="336"/>
      <c r="F10" s="334" t="s">
        <v>49</v>
      </c>
      <c r="G10" s="335"/>
      <c r="H10" s="336"/>
      <c r="I10" s="334" t="s">
        <v>50</v>
      </c>
      <c r="J10" s="335"/>
      <c r="K10" s="336"/>
      <c r="L10" s="334" t="s">
        <v>51</v>
      </c>
      <c r="M10" s="335"/>
      <c r="N10" s="336"/>
      <c r="O10" s="334" t="s">
        <v>52</v>
      </c>
      <c r="P10" s="335"/>
      <c r="Q10" s="336"/>
      <c r="R10" s="334" t="s">
        <v>53</v>
      </c>
      <c r="S10" s="335"/>
      <c r="T10" s="336"/>
      <c r="U10" s="76"/>
      <c r="V10" s="76"/>
      <c r="W10" s="76"/>
    </row>
    <row r="11" spans="1:24" s="9" customFormat="1" ht="7.9" customHeight="1">
      <c r="A11" s="337"/>
      <c r="B11" s="338"/>
      <c r="C11" s="73" t="s">
        <v>56</v>
      </c>
      <c r="D11" s="15" t="s">
        <v>57</v>
      </c>
      <c r="E11" s="74" t="s">
        <v>58</v>
      </c>
      <c r="F11" s="73" t="s">
        <v>56</v>
      </c>
      <c r="G11" s="15" t="s">
        <v>57</v>
      </c>
      <c r="H11" s="74" t="s">
        <v>58</v>
      </c>
      <c r="I11" s="73" t="s">
        <v>56</v>
      </c>
      <c r="J11" s="15" t="s">
        <v>57</v>
      </c>
      <c r="K11" s="74" t="s">
        <v>58</v>
      </c>
      <c r="L11" s="73" t="s">
        <v>56</v>
      </c>
      <c r="M11" s="15" t="s">
        <v>57</v>
      </c>
      <c r="N11" s="74" t="s">
        <v>58</v>
      </c>
      <c r="O11" s="73" t="s">
        <v>56</v>
      </c>
      <c r="P11" s="15" t="s">
        <v>57</v>
      </c>
      <c r="Q11" s="74" t="s">
        <v>58</v>
      </c>
      <c r="R11" s="75" t="s">
        <v>56</v>
      </c>
      <c r="S11" s="15" t="s">
        <v>57</v>
      </c>
      <c r="T11" s="18" t="s">
        <v>58</v>
      </c>
      <c r="U11" s="77" t="s">
        <v>59</v>
      </c>
      <c r="V11" s="77" t="s">
        <v>57</v>
      </c>
      <c r="W11" s="18" t="s">
        <v>58</v>
      </c>
    </row>
    <row r="12" spans="1:24" ht="7.9" customHeight="1">
      <c r="A12" s="364"/>
      <c r="B12" s="365"/>
      <c r="C12" s="50"/>
      <c r="D12" s="13"/>
      <c r="E12" s="105"/>
      <c r="F12" s="50"/>
      <c r="G12" s="13"/>
      <c r="H12" s="105"/>
      <c r="I12" s="50"/>
      <c r="J12" s="13"/>
      <c r="K12" s="105"/>
      <c r="L12" s="50"/>
      <c r="M12" s="13"/>
      <c r="N12" s="105"/>
      <c r="O12" s="50"/>
      <c r="P12" s="13"/>
      <c r="Q12" s="105"/>
      <c r="R12" s="50"/>
      <c r="S12" s="13"/>
      <c r="T12" s="105"/>
      <c r="U12" s="78"/>
      <c r="V12" s="78"/>
      <c r="W12" s="78"/>
    </row>
    <row r="13" spans="1:24" ht="7.9" customHeight="1">
      <c r="A13" s="366" t="s">
        <v>4</v>
      </c>
      <c r="B13" s="367"/>
      <c r="C13" s="51">
        <f>C68/C72</f>
        <v>0.35442570165888332</v>
      </c>
      <c r="D13" s="21">
        <f>D68/D72</f>
        <v>0.35442570165888337</v>
      </c>
      <c r="E13" s="106"/>
      <c r="F13" s="51">
        <f>F68/F72</f>
        <v>0.41966437925085742</v>
      </c>
      <c r="G13" s="21">
        <f>G68/G72</f>
        <v>0.41966437925085742</v>
      </c>
      <c r="H13" s="106"/>
      <c r="I13" s="51">
        <f>I68/I72</f>
        <v>0.52812784524358869</v>
      </c>
      <c r="J13" s="21">
        <f>J68/J72</f>
        <v>0.52812784524358869</v>
      </c>
      <c r="K13" s="106"/>
      <c r="L13" s="51">
        <f>L68/L72</f>
        <v>0.49279757488193898</v>
      </c>
      <c r="M13" s="21">
        <f>M68/M72</f>
        <v>0.49279757488193909</v>
      </c>
      <c r="N13" s="106"/>
      <c r="O13" s="51">
        <f>O68/O72</f>
        <v>0.50139684468717349</v>
      </c>
      <c r="P13" s="21">
        <f>P68/P72</f>
        <v>0.50139684468717349</v>
      </c>
      <c r="Q13" s="106"/>
      <c r="R13" s="51">
        <f>R68/R72</f>
        <v>0.59967645400378522</v>
      </c>
      <c r="S13" s="21">
        <f>S68/S72</f>
        <v>0.59967645400378533</v>
      </c>
      <c r="T13" s="106"/>
      <c r="U13" s="79">
        <f>U68/U72</f>
        <v>0.46647981777760822</v>
      </c>
      <c r="V13" s="79">
        <f>V68/V72</f>
        <v>0.46647981777760816</v>
      </c>
      <c r="W13" s="79"/>
      <c r="X13" s="14"/>
    </row>
    <row r="14" spans="1:24" ht="7.9" customHeight="1">
      <c r="A14" s="366" t="s">
        <v>5</v>
      </c>
      <c r="B14" s="367"/>
      <c r="C14" s="51">
        <f>C30/C16</f>
        <v>0.64557429834111668</v>
      </c>
      <c r="D14" s="21">
        <f>D30/D16</f>
        <v>0.64557429834111668</v>
      </c>
      <c r="E14" s="106"/>
      <c r="F14" s="51">
        <f>F30/F16</f>
        <v>0.58033562074914258</v>
      </c>
      <c r="G14" s="21">
        <f>G30/G16</f>
        <v>0.58033562074914258</v>
      </c>
      <c r="H14" s="106"/>
      <c r="I14" s="51">
        <f>I30/I16</f>
        <v>0.47187215475641131</v>
      </c>
      <c r="J14" s="21">
        <f>J30/J16</f>
        <v>0.47187215475641131</v>
      </c>
      <c r="K14" s="106"/>
      <c r="L14" s="51">
        <f>L30/L16</f>
        <v>0.50720242511806091</v>
      </c>
      <c r="M14" s="21">
        <f>M30/M16</f>
        <v>0.50720242511806091</v>
      </c>
      <c r="N14" s="106"/>
      <c r="O14" s="51">
        <f>O30/O16</f>
        <v>0.49860315531282651</v>
      </c>
      <c r="P14" s="21">
        <f>P30/P16</f>
        <v>0.49860315531282656</v>
      </c>
      <c r="Q14" s="106"/>
      <c r="R14" s="51">
        <f>R30/R16</f>
        <v>0.40032354599621472</v>
      </c>
      <c r="S14" s="21">
        <f>S30/S16</f>
        <v>0.40032354599621467</v>
      </c>
      <c r="T14" s="106"/>
      <c r="U14" s="79">
        <f>U30/U16</f>
        <v>0.53352018222239195</v>
      </c>
      <c r="V14" s="79">
        <f>V30/V16</f>
        <v>0.53352018222239195</v>
      </c>
      <c r="W14" s="79"/>
    </row>
    <row r="15" spans="1:24" ht="7.9" customHeight="1">
      <c r="A15" s="38"/>
      <c r="B15" s="46"/>
      <c r="C15" s="52"/>
      <c r="D15" s="22"/>
      <c r="E15" s="107"/>
      <c r="F15" s="52"/>
      <c r="G15" s="22"/>
      <c r="H15" s="107"/>
      <c r="I15" s="52"/>
      <c r="J15" s="22"/>
      <c r="K15" s="107"/>
      <c r="L15" s="52"/>
      <c r="M15" s="22"/>
      <c r="N15" s="107"/>
      <c r="O15" s="52"/>
      <c r="P15" s="22"/>
      <c r="Q15" s="107"/>
      <c r="R15" s="52"/>
      <c r="S15" s="22"/>
      <c r="T15" s="107"/>
      <c r="U15" s="80"/>
      <c r="V15" s="80"/>
      <c r="W15" s="80"/>
    </row>
    <row r="16" spans="1:24" s="12" customFormat="1" ht="7.9" customHeight="1">
      <c r="A16" s="368" t="s">
        <v>6</v>
      </c>
      <c r="B16" s="369"/>
      <c r="C16" s="53">
        <f>C72</f>
        <v>1101283</v>
      </c>
      <c r="D16" s="23">
        <f>D72</f>
        <v>91773.583333333328</v>
      </c>
      <c r="E16" s="53">
        <f>C16</f>
        <v>1101283</v>
      </c>
      <c r="F16" s="53">
        <f>F72</f>
        <v>1018471</v>
      </c>
      <c r="G16" s="23">
        <f>G72</f>
        <v>84872.583333333328</v>
      </c>
      <c r="H16" s="53">
        <f>F16</f>
        <v>1018471</v>
      </c>
      <c r="I16" s="53">
        <f>I72</f>
        <v>1046703</v>
      </c>
      <c r="J16" s="23">
        <f>J72</f>
        <v>87225.25</v>
      </c>
      <c r="K16" s="53">
        <f>I16</f>
        <v>1046703</v>
      </c>
      <c r="L16" s="53">
        <f>L72</f>
        <v>1102989.6000000001</v>
      </c>
      <c r="M16" s="23">
        <f>M72</f>
        <v>91915.8</v>
      </c>
      <c r="N16" s="53">
        <f>L16</f>
        <v>1102989.6000000001</v>
      </c>
      <c r="O16" s="53">
        <f>O72</f>
        <v>242904.6</v>
      </c>
      <c r="P16" s="23">
        <f>P72</f>
        <v>20242.05</v>
      </c>
      <c r="Q16" s="53">
        <f>O16</f>
        <v>242904.6</v>
      </c>
      <c r="R16" s="53">
        <f>R72</f>
        <v>518380.7</v>
      </c>
      <c r="S16" s="23">
        <f>S72</f>
        <v>43198.39166666667</v>
      </c>
      <c r="T16" s="53">
        <f>R16</f>
        <v>518380.7</v>
      </c>
      <c r="U16" s="81">
        <f>SUM(C16,F16,I16,L16,O16,R16)</f>
        <v>5030731.8999999994</v>
      </c>
      <c r="V16" s="100">
        <f>U16/63</f>
        <v>79852.887301587296</v>
      </c>
      <c r="W16" s="81">
        <f>U16</f>
        <v>5030731.8999999994</v>
      </c>
      <c r="X16" s="102">
        <f>U16/63</f>
        <v>79852.887301587296</v>
      </c>
    </row>
    <row r="17" spans="1:24" ht="7.9" customHeight="1">
      <c r="A17" s="341"/>
      <c r="B17" s="342"/>
      <c r="C17" s="54"/>
      <c r="D17" s="25"/>
      <c r="E17" s="108"/>
      <c r="F17" s="54"/>
      <c r="G17" s="25"/>
      <c r="H17" s="108"/>
      <c r="I17" s="54"/>
      <c r="J17" s="25"/>
      <c r="K17" s="108"/>
      <c r="L17" s="54"/>
      <c r="M17" s="25"/>
      <c r="N17" s="108"/>
      <c r="O17" s="54"/>
      <c r="P17" s="25"/>
      <c r="Q17" s="108"/>
      <c r="R17" s="54"/>
      <c r="S17" s="25"/>
      <c r="T17" s="108"/>
      <c r="U17" s="80"/>
      <c r="V17" s="80"/>
      <c r="W17" s="144"/>
    </row>
    <row r="18" spans="1:24" ht="7.9" customHeight="1">
      <c r="A18" s="370" t="s">
        <v>7</v>
      </c>
      <c r="B18" s="371"/>
      <c r="C18" s="55"/>
      <c r="D18" s="26"/>
      <c r="E18" s="109"/>
      <c r="F18" s="55"/>
      <c r="G18" s="26"/>
      <c r="H18" s="109"/>
      <c r="I18" s="55"/>
      <c r="J18" s="26"/>
      <c r="K18" s="109"/>
      <c r="L18" s="55"/>
      <c r="M18" s="26"/>
      <c r="N18" s="109"/>
      <c r="O18" s="55"/>
      <c r="P18" s="26"/>
      <c r="Q18" s="109"/>
      <c r="R18" s="55"/>
      <c r="S18" s="26"/>
      <c r="T18" s="109"/>
      <c r="U18" s="81"/>
      <c r="V18" s="81"/>
      <c r="W18" s="145"/>
      <c r="X18" s="7">
        <f>80155*63</f>
        <v>5049765</v>
      </c>
    </row>
    <row r="19" spans="1:24" s="27" customFormat="1" ht="7.9" customHeight="1">
      <c r="A19" s="372"/>
      <c r="B19" s="373"/>
      <c r="C19" s="52"/>
      <c r="D19" s="22"/>
      <c r="E19" s="107"/>
      <c r="F19" s="52"/>
      <c r="G19" s="22"/>
      <c r="H19" s="107"/>
      <c r="I19" s="52"/>
      <c r="J19" s="22"/>
      <c r="K19" s="107"/>
      <c r="L19" s="52"/>
      <c r="M19" s="22"/>
      <c r="N19" s="107"/>
      <c r="O19" s="52"/>
      <c r="P19" s="22"/>
      <c r="Q19" s="107"/>
      <c r="R19" s="52"/>
      <c r="S19" s="22"/>
      <c r="T19" s="107"/>
      <c r="U19" s="82"/>
      <c r="V19" s="82"/>
      <c r="W19" s="146"/>
    </row>
    <row r="20" spans="1:24" ht="7.9" customHeight="1">
      <c r="A20" s="374" t="s">
        <v>8</v>
      </c>
      <c r="B20" s="375"/>
      <c r="C20" s="56"/>
      <c r="D20" s="40"/>
      <c r="E20" s="110"/>
      <c r="F20" s="56"/>
      <c r="G20" s="40"/>
      <c r="H20" s="110"/>
      <c r="I20" s="56"/>
      <c r="J20" s="40"/>
      <c r="K20" s="110"/>
      <c r="L20" s="56"/>
      <c r="M20" s="40"/>
      <c r="N20" s="110"/>
      <c r="O20" s="56"/>
      <c r="P20" s="40"/>
      <c r="Q20" s="110"/>
      <c r="R20" s="56"/>
      <c r="S20" s="40"/>
      <c r="T20" s="110"/>
      <c r="U20" s="83"/>
      <c r="V20" s="83"/>
      <c r="W20" s="147"/>
    </row>
    <row r="21" spans="1:24" s="27" customFormat="1" ht="7.9" customHeight="1">
      <c r="A21" s="345" t="s">
        <v>9</v>
      </c>
      <c r="B21" s="346"/>
      <c r="C21" s="57">
        <f>'Tender - Waste Monitoring'!O21</f>
        <v>625280</v>
      </c>
      <c r="D21" s="41">
        <f>'Tender - Waste Monitoring'!P21</f>
        <v>52106.666666666664</v>
      </c>
      <c r="E21" s="111">
        <f>C21/E16</f>
        <v>0.56777413253450748</v>
      </c>
      <c r="F21" s="57">
        <f>'Tender - Waste Monitoring'!O94</f>
        <v>518690</v>
      </c>
      <c r="G21" s="41">
        <f>'Tender - Waste Monitoring'!P94</f>
        <v>43224.166666666664</v>
      </c>
      <c r="H21" s="111">
        <f>F21/H16</f>
        <v>0.50928303309568956</v>
      </c>
      <c r="I21" s="57">
        <f>'Tender - Waste Monitoring'!O165</f>
        <v>419660</v>
      </c>
      <c r="J21" s="41">
        <f>'Tender - Waste Monitoring'!P165</f>
        <v>34971.666666666664</v>
      </c>
      <c r="K21" s="111">
        <f>I21/K16</f>
        <v>0.40093512677426169</v>
      </c>
      <c r="L21" s="57">
        <f>'Tender - Waste Monitoring'!O235</f>
        <v>495030</v>
      </c>
      <c r="M21" s="41">
        <f>'Tender - Waste Monitoring'!P235</f>
        <v>41252.5</v>
      </c>
      <c r="N21" s="111">
        <f>L21/N16</f>
        <v>0.44880749555571509</v>
      </c>
      <c r="O21" s="57">
        <f>'Tender - Waste Monitoring'!O307</f>
        <v>117134</v>
      </c>
      <c r="P21" s="41">
        <f>'Tender - Waste Monitoring'!P307</f>
        <v>9761.1666666666661</v>
      </c>
      <c r="Q21" s="111">
        <f>O21/Q16</f>
        <v>0.48222223868959252</v>
      </c>
      <c r="R21" s="57">
        <f>'Tender - Waste Monitoring'!O379</f>
        <v>196220</v>
      </c>
      <c r="S21" s="41">
        <f>'Tender - Waste Monitoring'!P379</f>
        <v>16351.666666666666</v>
      </c>
      <c r="T21" s="111">
        <f>R21/T16</f>
        <v>0.37852489492760821</v>
      </c>
      <c r="U21" s="84">
        <f>SUM(C21,F21,I21,L21,O21,R21)</f>
        <v>2372014</v>
      </c>
      <c r="V21" s="84">
        <f>U21/63</f>
        <v>37651.015873015873</v>
      </c>
      <c r="W21" s="148">
        <f>U21/W16</f>
        <v>0.47150475261860014</v>
      </c>
    </row>
    <row r="22" spans="1:24" s="29" customFormat="1" ht="7.9" customHeight="1">
      <c r="A22" s="355"/>
      <c r="B22" s="356"/>
      <c r="C22" s="58"/>
      <c r="D22" s="28"/>
      <c r="E22" s="112"/>
      <c r="F22" s="58"/>
      <c r="G22" s="28"/>
      <c r="H22" s="112"/>
      <c r="I22" s="58"/>
      <c r="J22" s="28"/>
      <c r="K22" s="112"/>
      <c r="L22" s="58"/>
      <c r="M22" s="28"/>
      <c r="N22" s="112"/>
      <c r="O22" s="58"/>
      <c r="P22" s="28"/>
      <c r="Q22" s="112"/>
      <c r="R22" s="58"/>
      <c r="S22" s="28"/>
      <c r="T22" s="112"/>
      <c r="U22" s="85"/>
      <c r="V22" s="85"/>
      <c r="W22" s="149"/>
    </row>
    <row r="23" spans="1:24" s="27" customFormat="1" ht="7.9" customHeight="1">
      <c r="A23" s="357" t="s">
        <v>10</v>
      </c>
      <c r="B23" s="358"/>
      <c r="C23" s="59"/>
      <c r="D23" s="42"/>
      <c r="E23" s="113"/>
      <c r="F23" s="59"/>
      <c r="G23" s="42"/>
      <c r="H23" s="113"/>
      <c r="I23" s="59">
        <f>'Tender - Waste Monitoring'!O167</f>
        <v>0</v>
      </c>
      <c r="J23" s="42"/>
      <c r="K23" s="113"/>
      <c r="L23" s="59">
        <f>'Tender - Waste Monitoring'!O237</f>
        <v>0</v>
      </c>
      <c r="M23" s="42"/>
      <c r="N23" s="113"/>
      <c r="O23" s="59">
        <f>'Tender - Waste Monitoring'!O309</f>
        <v>0</v>
      </c>
      <c r="P23" s="42"/>
      <c r="Q23" s="113"/>
      <c r="R23" s="59">
        <f>'Tender - Waste Monitoring'!O381</f>
        <v>0</v>
      </c>
      <c r="S23" s="42"/>
      <c r="T23" s="113"/>
      <c r="U23" s="86"/>
      <c r="V23" s="86"/>
      <c r="W23" s="150"/>
    </row>
    <row r="24" spans="1:24" s="27" customFormat="1" ht="7.9" customHeight="1">
      <c r="A24" s="345" t="s">
        <v>11</v>
      </c>
      <c r="B24" s="346"/>
      <c r="C24" s="60">
        <f>'Tender - Waste Monitoring'!O24</f>
        <v>83190</v>
      </c>
      <c r="D24" s="43">
        <f>'Tender - Waste Monitoring'!P24</f>
        <v>6932.5</v>
      </c>
      <c r="E24" s="114">
        <f>C24/E16</f>
        <v>7.5539166590240653E-2</v>
      </c>
      <c r="F24" s="60">
        <f>'Tender - Waste Monitoring'!O97</f>
        <v>66740</v>
      </c>
      <c r="G24" s="43">
        <f>'Tender - Waste Monitoring'!P97</f>
        <v>5561.666666666667</v>
      </c>
      <c r="H24" s="114">
        <f>F24/H16</f>
        <v>6.552960270837363E-2</v>
      </c>
      <c r="I24" s="60">
        <f>'Tender - Waste Monitoring'!O168</f>
        <v>70690</v>
      </c>
      <c r="J24" s="43">
        <f>'Tender - Waste Monitoring'!P168</f>
        <v>5890.833333333333</v>
      </c>
      <c r="K24" s="114">
        <f>I24/K16</f>
        <v>6.7535872162399452E-2</v>
      </c>
      <c r="L24" s="60">
        <f>'Tender - Waste Monitoring'!O238</f>
        <v>63469</v>
      </c>
      <c r="M24" s="43">
        <f>'Tender - Waste Monitoring'!P238</f>
        <v>5289.083333333333</v>
      </c>
      <c r="N24" s="114">
        <f>L24/N16</f>
        <v>5.7542700311952168E-2</v>
      </c>
      <c r="O24" s="60">
        <f>'Tender - Waste Monitoring'!O310</f>
        <v>3490</v>
      </c>
      <c r="P24" s="43">
        <f>'Tender - Waste Monitoring'!P310</f>
        <v>290.83333333333331</v>
      </c>
      <c r="Q24" s="114">
        <f>O24/Q16</f>
        <v>1.4367780601931788E-2</v>
      </c>
      <c r="R24" s="60">
        <f>'Tender - Waste Monitoring'!O382</f>
        <v>8280</v>
      </c>
      <c r="S24" s="43">
        <f>'Tender - Waste Monitoring'!P382</f>
        <v>690</v>
      </c>
      <c r="T24" s="114">
        <f>R24/T16</f>
        <v>1.597281688920903E-2</v>
      </c>
      <c r="U24" s="84">
        <f>SUM(C24,F24,I24,L24,O24,R24)</f>
        <v>295859</v>
      </c>
      <c r="V24" s="84">
        <f>U24/63</f>
        <v>4696.1746031746034</v>
      </c>
      <c r="W24" s="148">
        <f>U24/W16</f>
        <v>5.8810329367780467E-2</v>
      </c>
    </row>
    <row r="25" spans="1:24" s="27" customFormat="1" ht="7.9" customHeight="1">
      <c r="A25" s="345" t="s">
        <v>12</v>
      </c>
      <c r="B25" s="346"/>
      <c r="C25" s="60">
        <f>'Tender - Waste Monitoring'!O25</f>
        <v>0</v>
      </c>
      <c r="D25" s="43">
        <f>'Tender - Waste Monitoring'!P25</f>
        <v>0</v>
      </c>
      <c r="E25" s="114">
        <f>C25/E16</f>
        <v>0</v>
      </c>
      <c r="F25" s="60">
        <f>'Tender - Waste Monitoring'!O98</f>
        <v>225</v>
      </c>
      <c r="G25" s="43">
        <f>'Tender - Waste Monitoring'!P98</f>
        <v>18.75</v>
      </c>
      <c r="H25" s="114">
        <f>F25/H16</f>
        <v>2.209193978031775E-4</v>
      </c>
      <c r="I25" s="60">
        <f>'Tender - Waste Monitoring'!O169</f>
        <v>500</v>
      </c>
      <c r="J25" s="43">
        <f>'Tender - Waste Monitoring'!P169</f>
        <v>41.666666666666664</v>
      </c>
      <c r="K25" s="114">
        <f>I25/K16</f>
        <v>4.7769042412221994E-4</v>
      </c>
      <c r="L25" s="60">
        <f>'Tender - Waste Monitoring'!O239</f>
        <v>0</v>
      </c>
      <c r="M25" s="43">
        <f>'Tender - Waste Monitoring'!P239</f>
        <v>0</v>
      </c>
      <c r="N25" s="114">
        <f>L25/N16</f>
        <v>0</v>
      </c>
      <c r="O25" s="60">
        <f>'Tender - Waste Monitoring'!O311</f>
        <v>0</v>
      </c>
      <c r="P25" s="43">
        <f>'Tender - Waste Monitoring'!P311</f>
        <v>0</v>
      </c>
      <c r="Q25" s="114">
        <f>O25/Q16</f>
        <v>0</v>
      </c>
      <c r="R25" s="60">
        <f>'Tender - Waste Monitoring'!O383</f>
        <v>0</v>
      </c>
      <c r="S25" s="43">
        <f>'Tender - Waste Monitoring'!P383</f>
        <v>0</v>
      </c>
      <c r="T25" s="114">
        <f>R25/T16</f>
        <v>0</v>
      </c>
      <c r="U25" s="84">
        <f>SUM(C25,F25,I25,L25,O25,R25)</f>
        <v>725</v>
      </c>
      <c r="V25" s="84">
        <f>U25/63</f>
        <v>11.507936507936508</v>
      </c>
      <c r="W25" s="148">
        <f>U25/W16</f>
        <v>1.4411421924511621E-4</v>
      </c>
    </row>
    <row r="26" spans="1:24" s="27" customFormat="1" ht="7.9" customHeight="1">
      <c r="A26" s="345" t="s">
        <v>13</v>
      </c>
      <c r="B26" s="346"/>
      <c r="C26" s="60">
        <f>'Tender - Waste Monitoring'!O26</f>
        <v>0</v>
      </c>
      <c r="D26" s="43">
        <f>'Tender - Waste Monitoring'!P26</f>
        <v>0</v>
      </c>
      <c r="E26" s="114">
        <f>C26/E16</f>
        <v>0</v>
      </c>
      <c r="F26" s="60">
        <f>'Tender - Waste Monitoring'!O99</f>
        <v>0</v>
      </c>
      <c r="G26" s="43">
        <f>'Tender - Waste Monitoring'!P99</f>
        <v>0</v>
      </c>
      <c r="H26" s="114">
        <f>F26/H16</f>
        <v>0</v>
      </c>
      <c r="I26" s="60">
        <f>'Tender - Waste Monitoring'!O170</f>
        <v>0</v>
      </c>
      <c r="J26" s="43">
        <f>'Tender - Waste Monitoring'!P170</f>
        <v>0</v>
      </c>
      <c r="K26" s="114">
        <f>I26/K16</f>
        <v>0</v>
      </c>
      <c r="L26" s="60">
        <f>'Tender - Waste Monitoring'!O240</f>
        <v>940</v>
      </c>
      <c r="M26" s="43">
        <f>'Tender - Waste Monitoring'!P240</f>
        <v>78.333333333333329</v>
      </c>
      <c r="N26" s="114">
        <f>L26/N16</f>
        <v>8.5222925039365733E-4</v>
      </c>
      <c r="O26" s="60">
        <f>'Tender - Waste Monitoring'!O312</f>
        <v>0</v>
      </c>
      <c r="P26" s="43">
        <f>'Tender - Waste Monitoring'!P312</f>
        <v>0</v>
      </c>
      <c r="Q26" s="114">
        <f>O26/Q16</f>
        <v>0</v>
      </c>
      <c r="R26" s="60">
        <f>'Tender - Waste Monitoring'!O384</f>
        <v>3020</v>
      </c>
      <c r="S26" s="43">
        <f>'Tender - Waste Monitoring'!P384</f>
        <v>251.66666666666666</v>
      </c>
      <c r="T26" s="114">
        <f>R26/T16</f>
        <v>5.8258341793974971E-3</v>
      </c>
      <c r="U26" s="84">
        <f>SUM(C26,F26,I26,L26,O26,R26)</f>
        <v>3960</v>
      </c>
      <c r="V26" s="84">
        <f>U26/63</f>
        <v>62.857142857142854</v>
      </c>
      <c r="W26" s="148">
        <f>U26/W16</f>
        <v>7.8716180442849689E-4</v>
      </c>
    </row>
    <row r="27" spans="1:24" s="27" customFormat="1" ht="7.9" customHeight="1">
      <c r="A27" s="345" t="s">
        <v>14</v>
      </c>
      <c r="B27" s="346"/>
      <c r="C27" s="60">
        <f>'Tender - Waste Monitoring'!O27</f>
        <v>2490</v>
      </c>
      <c r="D27" s="43">
        <f>'Tender - Waste Monitoring'!P27</f>
        <v>207.5</v>
      </c>
      <c r="E27" s="114">
        <f>C27/E16</f>
        <v>2.2609992163685447E-3</v>
      </c>
      <c r="F27" s="60">
        <f>'Tender - Waste Monitoring'!O100</f>
        <v>5400</v>
      </c>
      <c r="G27" s="43">
        <f>'Tender - Waste Monitoring'!P100</f>
        <v>450</v>
      </c>
      <c r="H27" s="114">
        <f>F27/H16</f>
        <v>5.3020655472762598E-3</v>
      </c>
      <c r="I27" s="60">
        <f>'Tender - Waste Monitoring'!O171</f>
        <v>3060</v>
      </c>
      <c r="J27" s="43">
        <f>'Tender - Waste Monitoring'!P171</f>
        <v>255</v>
      </c>
      <c r="K27" s="114">
        <f>I27/K16</f>
        <v>2.9234653956279862E-3</v>
      </c>
      <c r="L27" s="60">
        <f>'Tender - Waste Monitoring'!O241</f>
        <v>0</v>
      </c>
      <c r="M27" s="43">
        <f>'Tender - Waste Monitoring'!P241</f>
        <v>0</v>
      </c>
      <c r="N27" s="114">
        <f>L27/N16</f>
        <v>0</v>
      </c>
      <c r="O27" s="60">
        <f>'Tender - Waste Monitoring'!O313</f>
        <v>489</v>
      </c>
      <c r="P27" s="43">
        <f>'Tender - Waste Monitoring'!P313</f>
        <v>40.75</v>
      </c>
      <c r="Q27" s="114">
        <f>O27/Q16</f>
        <v>2.0131360213021901E-3</v>
      </c>
      <c r="R27" s="60">
        <f>'Tender - Waste Monitoring'!O385</f>
        <v>0</v>
      </c>
      <c r="S27" s="43">
        <f>'Tender - Waste Monitoring'!P385</f>
        <v>0</v>
      </c>
      <c r="T27" s="114">
        <f>R27/T16</f>
        <v>0</v>
      </c>
      <c r="U27" s="84">
        <f>SUM(C27,F27,I27,L27,O27,R27)</f>
        <v>11439</v>
      </c>
      <c r="V27" s="84">
        <f>U27/63</f>
        <v>181.57142857142858</v>
      </c>
      <c r="W27" s="148">
        <f>U27/W16</f>
        <v>2.2738242123377717E-3</v>
      </c>
    </row>
    <row r="28" spans="1:24" s="27" customFormat="1" ht="7.9" customHeight="1">
      <c r="A28" s="345" t="s">
        <v>15</v>
      </c>
      <c r="B28" s="346"/>
      <c r="C28" s="61">
        <f>SUM(C24:C27)</f>
        <v>85680</v>
      </c>
      <c r="D28" s="30">
        <f>SUM(D24:D27)</f>
        <v>7140</v>
      </c>
      <c r="E28" s="115"/>
      <c r="F28" s="61">
        <f>SUM(F24:F27)</f>
        <v>72365</v>
      </c>
      <c r="G28" s="30">
        <f>SUM(G24:G27)</f>
        <v>6030.416666666667</v>
      </c>
      <c r="H28" s="115"/>
      <c r="I28" s="61">
        <f>SUM(I24:I27)</f>
        <v>74250</v>
      </c>
      <c r="J28" s="30">
        <f>SUM(J24:J27)</f>
        <v>6187.5</v>
      </c>
      <c r="K28" s="115"/>
      <c r="L28" s="61">
        <f>SUM(L24:L27)</f>
        <v>64409</v>
      </c>
      <c r="M28" s="30">
        <f>SUM(M24:M27)</f>
        <v>5367.4166666666661</v>
      </c>
      <c r="N28" s="115"/>
      <c r="O28" s="61">
        <f>SUM(O24:O27)</f>
        <v>3979</v>
      </c>
      <c r="P28" s="30">
        <f>SUM(P24:P27)</f>
        <v>331.58333333333331</v>
      </c>
      <c r="Q28" s="115"/>
      <c r="R28" s="61">
        <f>SUM(R24:R27)</f>
        <v>11300</v>
      </c>
      <c r="S28" s="30">
        <f>SUM(S24:S27)</f>
        <v>941.66666666666663</v>
      </c>
      <c r="T28" s="115"/>
      <c r="U28" s="87">
        <f>SUM(C28,F28,I28,L28,O28,R28)</f>
        <v>311983</v>
      </c>
      <c r="V28" s="87">
        <f>U28/63</f>
        <v>4952.1111111111113</v>
      </c>
      <c r="W28" s="151"/>
    </row>
    <row r="29" spans="1:24" ht="7.9" customHeight="1">
      <c r="A29" s="341"/>
      <c r="B29" s="342"/>
      <c r="C29" s="54"/>
      <c r="D29" s="25"/>
      <c r="E29" s="108"/>
      <c r="F29" s="54"/>
      <c r="G29" s="25"/>
      <c r="H29" s="108"/>
      <c r="I29" s="54"/>
      <c r="J29" s="25"/>
      <c r="K29" s="108"/>
      <c r="L29" s="54"/>
      <c r="M29" s="25"/>
      <c r="N29" s="108"/>
      <c r="O29" s="54"/>
      <c r="P29" s="25"/>
      <c r="Q29" s="108"/>
      <c r="R29" s="54"/>
      <c r="S29" s="25"/>
      <c r="T29" s="108"/>
      <c r="U29" s="88"/>
      <c r="V29" s="88"/>
      <c r="W29" s="152"/>
    </row>
    <row r="30" spans="1:24" ht="7.9" customHeight="1">
      <c r="A30" s="347" t="s">
        <v>16</v>
      </c>
      <c r="B30" s="348"/>
      <c r="C30" s="62">
        <f>C21+C28</f>
        <v>710960</v>
      </c>
      <c r="D30" s="31">
        <f>D21+D28</f>
        <v>59246.666666666664</v>
      </c>
      <c r="E30" s="116"/>
      <c r="F30" s="62">
        <f>F21+F28</f>
        <v>591055</v>
      </c>
      <c r="G30" s="31">
        <f>G21+G28</f>
        <v>49254.583333333328</v>
      </c>
      <c r="H30" s="116"/>
      <c r="I30" s="62">
        <f>I21+I28</f>
        <v>493910</v>
      </c>
      <c r="J30" s="31">
        <f>J21+J28</f>
        <v>41159.166666666664</v>
      </c>
      <c r="K30" s="116"/>
      <c r="L30" s="62">
        <f>L21+L28</f>
        <v>559439</v>
      </c>
      <c r="M30" s="31">
        <f>M21+M28</f>
        <v>46619.916666666664</v>
      </c>
      <c r="N30" s="116"/>
      <c r="O30" s="62">
        <f>O21+O28</f>
        <v>121113</v>
      </c>
      <c r="P30" s="31">
        <f>P21+P28</f>
        <v>10092.75</v>
      </c>
      <c r="Q30" s="116"/>
      <c r="R30" s="62">
        <f>R21+R28</f>
        <v>207520</v>
      </c>
      <c r="S30" s="31">
        <f>S21+S28</f>
        <v>17293.333333333332</v>
      </c>
      <c r="T30" s="116"/>
      <c r="U30" s="89">
        <f>SUM(C30,F30,I30,L30,O30,R30)</f>
        <v>2683997</v>
      </c>
      <c r="V30" s="89">
        <f>U30/63</f>
        <v>42603.126984126982</v>
      </c>
      <c r="W30" s="153"/>
    </row>
    <row r="31" spans="1:24" ht="7.9" customHeight="1">
      <c r="A31" s="341"/>
      <c r="B31" s="342"/>
      <c r="C31" s="54"/>
      <c r="D31" s="25"/>
      <c r="E31" s="108"/>
      <c r="F31" s="54"/>
      <c r="G31" s="25"/>
      <c r="H31" s="108"/>
      <c r="I31" s="54"/>
      <c r="J31" s="25"/>
      <c r="K31" s="108"/>
      <c r="L31" s="54"/>
      <c r="M31" s="25"/>
      <c r="N31" s="108"/>
      <c r="O31" s="54"/>
      <c r="P31" s="25"/>
      <c r="Q31" s="108"/>
      <c r="R31" s="54"/>
      <c r="S31" s="25"/>
      <c r="T31" s="108"/>
      <c r="U31" s="88"/>
      <c r="V31" s="88"/>
      <c r="W31" s="152"/>
    </row>
    <row r="32" spans="1:24" ht="7.9" customHeight="1">
      <c r="A32" s="349" t="s">
        <v>17</v>
      </c>
      <c r="B32" s="350"/>
      <c r="C32" s="55"/>
      <c r="D32" s="26"/>
      <c r="E32" s="109"/>
      <c r="F32" s="55"/>
      <c r="G32" s="26"/>
      <c r="H32" s="109"/>
      <c r="I32" s="55"/>
      <c r="J32" s="26"/>
      <c r="K32" s="109"/>
      <c r="L32" s="55"/>
      <c r="M32" s="26"/>
      <c r="N32" s="109"/>
      <c r="O32" s="55"/>
      <c r="P32" s="26"/>
      <c r="Q32" s="109"/>
      <c r="R32" s="55"/>
      <c r="S32" s="26"/>
      <c r="T32" s="109"/>
      <c r="U32" s="90"/>
      <c r="V32" s="90"/>
      <c r="W32" s="145"/>
    </row>
    <row r="33" spans="1:27" ht="7.9" customHeight="1">
      <c r="A33" s="353"/>
      <c r="B33" s="354"/>
      <c r="C33" s="54"/>
      <c r="D33" s="25"/>
      <c r="E33" s="108"/>
      <c r="F33" s="54"/>
      <c r="G33" s="25"/>
      <c r="H33" s="108"/>
      <c r="I33" s="54"/>
      <c r="J33" s="25"/>
      <c r="K33" s="108"/>
      <c r="L33" s="54"/>
      <c r="M33" s="25"/>
      <c r="N33" s="108"/>
      <c r="O33" s="54"/>
      <c r="P33" s="25"/>
      <c r="Q33" s="108"/>
      <c r="R33" s="54"/>
      <c r="S33" s="25"/>
      <c r="T33" s="108"/>
      <c r="U33" s="88"/>
      <c r="V33" s="88"/>
      <c r="W33" s="152"/>
    </row>
    <row r="34" spans="1:27" ht="7.9" customHeight="1">
      <c r="A34" s="343" t="s">
        <v>18</v>
      </c>
      <c r="B34" s="47" t="s">
        <v>19</v>
      </c>
      <c r="C34" s="63">
        <f>'Tender - Waste Monitoring'!O34</f>
        <v>17035</v>
      </c>
      <c r="D34" s="44">
        <f>'Tender - Waste Monitoring'!P34</f>
        <v>1419.5833333333333</v>
      </c>
      <c r="E34" s="117">
        <f>C34/E16</f>
        <v>1.5468321948127774E-2</v>
      </c>
      <c r="F34" s="63">
        <f>'Tender - Waste Monitoring'!O107</f>
        <v>19791</v>
      </c>
      <c r="G34" s="44">
        <f>'Tender - Waste Monitoring'!P107</f>
        <v>1649.25</v>
      </c>
      <c r="H34" s="117">
        <f>F34/H16</f>
        <v>1.9432070230767495E-2</v>
      </c>
      <c r="I34" s="63">
        <f>'Tender - Waste Monitoring'!O178</f>
        <v>24223</v>
      </c>
      <c r="J34" s="44">
        <f>'Tender - Waste Monitoring'!P178</f>
        <v>2018.5833333333333</v>
      </c>
      <c r="K34" s="117">
        <f>I34/K16</f>
        <v>2.3142190287025067E-2</v>
      </c>
      <c r="L34" s="63">
        <f>'Tender - Waste Monitoring'!O248</f>
        <v>23363</v>
      </c>
      <c r="M34" s="44">
        <f>'Tender - Waste Monitoring'!P248</f>
        <v>1946.9166666666667</v>
      </c>
      <c r="N34" s="117">
        <f>L34/N16</f>
        <v>2.1181523379730869E-2</v>
      </c>
      <c r="O34" s="63">
        <f>'Tender - Waste Monitoring'!O320</f>
        <v>5900</v>
      </c>
      <c r="P34" s="44">
        <f>'Tender - Waste Monitoring'!P320</f>
        <v>491.66666666666669</v>
      </c>
      <c r="Q34" s="117">
        <f>O34/Q16</f>
        <v>2.4289371218165486E-2</v>
      </c>
      <c r="R34" s="63">
        <f>'Tender - Waste Monitoring'!O392</f>
        <v>11745</v>
      </c>
      <c r="S34" s="44">
        <f>'Tender - Waste Monitoring'!P392</f>
        <v>978.75</v>
      </c>
      <c r="T34" s="117">
        <f>R34/T16</f>
        <v>2.2657093522193243E-2</v>
      </c>
      <c r="U34" s="91">
        <f t="shared" ref="U34:U42" si="0">SUM(C34,F34,I34,L34,O34,R34)</f>
        <v>102057</v>
      </c>
      <c r="V34" s="91">
        <f t="shared" ref="V34:V42" si="1">U34/63</f>
        <v>1619.952380952381</v>
      </c>
      <c r="W34" s="154">
        <f>U34/W16</f>
        <v>2.0286710170343208E-2</v>
      </c>
      <c r="X34" s="12"/>
      <c r="Y34" s="12"/>
      <c r="Z34" s="12"/>
      <c r="AA34" s="12"/>
    </row>
    <row r="35" spans="1:27" ht="7.9" customHeight="1">
      <c r="A35" s="343"/>
      <c r="B35" s="47" t="s">
        <v>20</v>
      </c>
      <c r="C35" s="63">
        <f>'Tender - Waste Monitoring'!O35</f>
        <v>0</v>
      </c>
      <c r="D35" s="44">
        <f>'Tender - Waste Monitoring'!P35</f>
        <v>0</v>
      </c>
      <c r="E35" s="117">
        <f>C35/E16</f>
        <v>0</v>
      </c>
      <c r="F35" s="63">
        <f>'Tender - Waste Monitoring'!O108</f>
        <v>0</v>
      </c>
      <c r="G35" s="44">
        <f>'Tender - Waste Monitoring'!P108</f>
        <v>0</v>
      </c>
      <c r="H35" s="117">
        <f>F35/H16</f>
        <v>0</v>
      </c>
      <c r="I35" s="63">
        <f>'Tender - Waste Monitoring'!O179</f>
        <v>0</v>
      </c>
      <c r="J35" s="44">
        <f>'Tender - Waste Monitoring'!P179</f>
        <v>0</v>
      </c>
      <c r="K35" s="117">
        <f>I35/K16</f>
        <v>0</v>
      </c>
      <c r="L35" s="63">
        <f>'Tender - Waste Monitoring'!O249</f>
        <v>0</v>
      </c>
      <c r="M35" s="44">
        <f>'Tender - Waste Monitoring'!P249</f>
        <v>0</v>
      </c>
      <c r="N35" s="117">
        <f>L35/N16</f>
        <v>0</v>
      </c>
      <c r="O35" s="63">
        <f>'Tender - Waste Monitoring'!O321</f>
        <v>0</v>
      </c>
      <c r="P35" s="44">
        <f>'Tender - Waste Monitoring'!P321</f>
        <v>0</v>
      </c>
      <c r="Q35" s="117">
        <f>O35/Q16</f>
        <v>0</v>
      </c>
      <c r="R35" s="63">
        <f>'Tender - Waste Monitoring'!O393</f>
        <v>0</v>
      </c>
      <c r="S35" s="44">
        <f>'Tender - Waste Monitoring'!P393</f>
        <v>0</v>
      </c>
      <c r="T35" s="117">
        <f>R35/T16</f>
        <v>0</v>
      </c>
      <c r="U35" s="91">
        <f t="shared" si="0"/>
        <v>0</v>
      </c>
      <c r="V35" s="91">
        <f t="shared" si="1"/>
        <v>0</v>
      </c>
      <c r="W35" s="154">
        <f>U35/W16</f>
        <v>0</v>
      </c>
      <c r="X35" s="12"/>
      <c r="Y35" s="12"/>
      <c r="Z35" s="12"/>
      <c r="AA35" s="12"/>
    </row>
    <row r="36" spans="1:27" ht="7.9" customHeight="1">
      <c r="A36" s="343"/>
      <c r="B36" s="47" t="s">
        <v>21</v>
      </c>
      <c r="C36" s="64">
        <f>'Tender - Waste Monitoring'!O36</f>
        <v>5871</v>
      </c>
      <c r="D36" s="45">
        <f>'Tender - Waste Monitoring'!P36</f>
        <v>489.25</v>
      </c>
      <c r="E36" s="118">
        <f>C36/E16</f>
        <v>5.3310547788352316E-3</v>
      </c>
      <c r="F36" s="64">
        <f>'Tender - Waste Monitoring'!O109</f>
        <v>3938</v>
      </c>
      <c r="G36" s="45">
        <f>'Tender - Waste Monitoring'!P109</f>
        <v>328.16666666666669</v>
      </c>
      <c r="H36" s="118">
        <f>F36/H16</f>
        <v>3.8665803935507247E-3</v>
      </c>
      <c r="I36" s="64">
        <f>'Tender - Waste Monitoring'!O180</f>
        <v>4566</v>
      </c>
      <c r="J36" s="45">
        <f>'Tender - Waste Monitoring'!P180</f>
        <v>380.5</v>
      </c>
      <c r="K36" s="118">
        <f>I36/K16</f>
        <v>4.3622689530841124E-3</v>
      </c>
      <c r="L36" s="64">
        <f>'Tender - Waste Monitoring'!O250</f>
        <v>4590</v>
      </c>
      <c r="M36" s="45">
        <f>'Tender - Waste Monitoring'!P250</f>
        <v>382.5</v>
      </c>
      <c r="N36" s="118">
        <f>L36/N16</f>
        <v>4.1614172971349865E-3</v>
      </c>
      <c r="O36" s="64">
        <f>'Tender - Waste Monitoring'!O322</f>
        <v>720</v>
      </c>
      <c r="P36" s="45">
        <f>'Tender - Waste Monitoring'!P322</f>
        <v>60</v>
      </c>
      <c r="Q36" s="118">
        <f>O36/Q16</f>
        <v>2.9641266571320594E-3</v>
      </c>
      <c r="R36" s="64">
        <f>'Tender - Waste Monitoring'!O394</f>
        <v>0</v>
      </c>
      <c r="S36" s="45">
        <f>'Tender - Waste Monitoring'!P394</f>
        <v>0</v>
      </c>
      <c r="T36" s="118">
        <f>R36/T16</f>
        <v>0</v>
      </c>
      <c r="U36" s="92">
        <f t="shared" si="0"/>
        <v>19685</v>
      </c>
      <c r="V36" s="92">
        <f t="shared" si="1"/>
        <v>312.46031746031747</v>
      </c>
      <c r="W36" s="155">
        <f>U36/W16</f>
        <v>3.9129495252967069E-3</v>
      </c>
      <c r="X36" s="12"/>
      <c r="Y36" s="12"/>
      <c r="Z36" s="12"/>
      <c r="AA36" s="12"/>
    </row>
    <row r="37" spans="1:27" ht="7.9" customHeight="1">
      <c r="A37" s="343"/>
      <c r="B37" s="47" t="s">
        <v>22</v>
      </c>
      <c r="C37" s="64">
        <f>'Tender - Waste Monitoring'!O37</f>
        <v>16897</v>
      </c>
      <c r="D37" s="45">
        <f>'Tender - Waste Monitoring'!P37</f>
        <v>1408.0833333333333</v>
      </c>
      <c r="E37" s="118">
        <f>C37/E16</f>
        <v>1.5343013557823013E-2</v>
      </c>
      <c r="F37" s="64">
        <f>'Tender - Waste Monitoring'!O110</f>
        <v>21241</v>
      </c>
      <c r="G37" s="45">
        <f>'Tender - Waste Monitoring'!P110</f>
        <v>1770.0833333333333</v>
      </c>
      <c r="H37" s="118">
        <f>F37/H16</f>
        <v>2.0855773016610193E-2</v>
      </c>
      <c r="I37" s="64">
        <f>'Tender - Waste Monitoring'!O181</f>
        <v>22102</v>
      </c>
      <c r="J37" s="45">
        <f>'Tender - Waste Monitoring'!P181</f>
        <v>1841.8333333333333</v>
      </c>
      <c r="K37" s="118">
        <f>I37/K16</f>
        <v>2.1115827507898612E-2</v>
      </c>
      <c r="L37" s="64">
        <f>'Tender - Waste Monitoring'!O251</f>
        <v>16850</v>
      </c>
      <c r="M37" s="45">
        <f>'Tender - Waste Monitoring'!P251</f>
        <v>1404.1666666666667</v>
      </c>
      <c r="N37" s="118">
        <f>L37/N16</f>
        <v>1.5276662626737368E-2</v>
      </c>
      <c r="O37" s="64">
        <f>'Tender - Waste Monitoring'!O323</f>
        <v>0</v>
      </c>
      <c r="P37" s="45">
        <f>'Tender - Waste Monitoring'!P323</f>
        <v>0</v>
      </c>
      <c r="Q37" s="118">
        <f>O37/Q16</f>
        <v>0</v>
      </c>
      <c r="R37" s="64">
        <f>'Tender - Waste Monitoring'!O395</f>
        <v>10142</v>
      </c>
      <c r="S37" s="45">
        <f>'Tender - Waste Monitoring'!P395</f>
        <v>845.16666666666663</v>
      </c>
      <c r="T37" s="118">
        <f>R37/T16</f>
        <v>1.9564771605115699E-2</v>
      </c>
      <c r="U37" s="92">
        <f t="shared" si="0"/>
        <v>87232</v>
      </c>
      <c r="V37" s="92">
        <f t="shared" si="1"/>
        <v>1384.6349206349207</v>
      </c>
      <c r="W37" s="155">
        <f>U37/W16</f>
        <v>1.7339822859572383E-2</v>
      </c>
      <c r="X37" s="12"/>
      <c r="Y37" s="12"/>
      <c r="Z37" s="12"/>
      <c r="AA37" s="12"/>
    </row>
    <row r="38" spans="1:27" ht="7.9" customHeight="1">
      <c r="A38" s="343"/>
      <c r="B38" s="47" t="s">
        <v>23</v>
      </c>
      <c r="C38" s="64">
        <f>'Tender - Waste Monitoring'!O38</f>
        <v>0</v>
      </c>
      <c r="D38" s="45">
        <f>'Tender - Waste Monitoring'!P38</f>
        <v>0</v>
      </c>
      <c r="E38" s="118">
        <f>C38/E16</f>
        <v>0</v>
      </c>
      <c r="F38" s="64">
        <f>'Tender - Waste Monitoring'!O111</f>
        <v>3456</v>
      </c>
      <c r="G38" s="45">
        <f>'Tender - Waste Monitoring'!P111</f>
        <v>288</v>
      </c>
      <c r="H38" s="118">
        <f>F38/H16</f>
        <v>3.3933219502568063E-3</v>
      </c>
      <c r="I38" s="64">
        <f>'Tender - Waste Monitoring'!O182</f>
        <v>10768</v>
      </c>
      <c r="J38" s="45">
        <f>'Tender - Waste Monitoring'!P182</f>
        <v>897.33333333333337</v>
      </c>
      <c r="K38" s="118">
        <f>I38/K16</f>
        <v>1.028754097389613E-2</v>
      </c>
      <c r="L38" s="64">
        <f>'Tender - Waste Monitoring'!O252</f>
        <v>11710</v>
      </c>
      <c r="M38" s="45">
        <f>'Tender - Waste Monitoring'!P252</f>
        <v>975.83333333333337</v>
      </c>
      <c r="N38" s="118">
        <f>L38/N16</f>
        <v>1.061660055543588E-2</v>
      </c>
      <c r="O38" s="64">
        <f>'Tender - Waste Monitoring'!O324</f>
        <v>6540</v>
      </c>
      <c r="P38" s="45">
        <f>'Tender - Waste Monitoring'!P324</f>
        <v>545</v>
      </c>
      <c r="Q38" s="118">
        <f>O38/Q16</f>
        <v>2.6924150468949536E-2</v>
      </c>
      <c r="R38" s="64">
        <f>'Tender - Waste Monitoring'!O396</f>
        <v>3274</v>
      </c>
      <c r="S38" s="45">
        <f>'Tender - Waste Monitoring'!P396</f>
        <v>272.83333333333331</v>
      </c>
      <c r="T38" s="118">
        <f>R38/T16</f>
        <v>6.3158215573998026E-3</v>
      </c>
      <c r="U38" s="92">
        <f t="shared" si="0"/>
        <v>35748</v>
      </c>
      <c r="V38" s="92">
        <f t="shared" si="1"/>
        <v>567.42857142857144</v>
      </c>
      <c r="W38" s="155">
        <f>U38/W16</f>
        <v>7.1059242890681579E-3</v>
      </c>
      <c r="X38" s="12"/>
      <c r="Y38" s="12"/>
      <c r="Z38" s="12"/>
      <c r="AA38" s="12"/>
    </row>
    <row r="39" spans="1:27" ht="7.9" customHeight="1">
      <c r="A39" s="343"/>
      <c r="B39" s="47" t="s">
        <v>24</v>
      </c>
      <c r="C39" s="64">
        <f>'Tender - Waste Monitoring'!O39</f>
        <v>0</v>
      </c>
      <c r="D39" s="45">
        <f>'Tender - Waste Monitoring'!P39</f>
        <v>0</v>
      </c>
      <c r="E39" s="118">
        <f>C39/E16</f>
        <v>0</v>
      </c>
      <c r="F39" s="64">
        <f>'Tender - Waste Monitoring'!O112</f>
        <v>1169</v>
      </c>
      <c r="G39" s="45">
        <f>'Tender - Waste Monitoring'!P112</f>
        <v>97.416666666666671</v>
      </c>
      <c r="H39" s="118">
        <f>F39/H16</f>
        <v>1.1477990045862868E-3</v>
      </c>
      <c r="I39" s="64">
        <f>'Tender - Waste Monitoring'!O183</f>
        <v>2096</v>
      </c>
      <c r="J39" s="45">
        <f>'Tender - Waste Monitoring'!P183</f>
        <v>174.66666666666666</v>
      </c>
      <c r="K39" s="118">
        <f>I39/K16</f>
        <v>2.0024782579203459E-3</v>
      </c>
      <c r="L39" s="64">
        <f>'Tender - Waste Monitoring'!O253</f>
        <v>822</v>
      </c>
      <c r="M39" s="45">
        <f>'Tender - Waste Monitoring'!P253</f>
        <v>68.5</v>
      </c>
      <c r="N39" s="118">
        <f>L39/N16</f>
        <v>7.4524728066338965E-4</v>
      </c>
      <c r="O39" s="64">
        <f>'Tender - Waste Monitoring'!O325</f>
        <v>0</v>
      </c>
      <c r="P39" s="45">
        <f>'Tender - Waste Monitoring'!P325</f>
        <v>0</v>
      </c>
      <c r="Q39" s="118">
        <f>O39/Q16</f>
        <v>0</v>
      </c>
      <c r="R39" s="64">
        <f>'Tender - Waste Monitoring'!O397</f>
        <v>0</v>
      </c>
      <c r="S39" s="45">
        <f>'Tender - Waste Monitoring'!P397</f>
        <v>0</v>
      </c>
      <c r="T39" s="118">
        <f>R39/T16</f>
        <v>0</v>
      </c>
      <c r="U39" s="92">
        <f t="shared" si="0"/>
        <v>4087</v>
      </c>
      <c r="V39" s="92">
        <f t="shared" si="1"/>
        <v>64.873015873015873</v>
      </c>
      <c r="W39" s="155">
        <f>U39/W16</f>
        <v>8.1240664007557241E-4</v>
      </c>
      <c r="X39" s="12"/>
      <c r="Y39" s="12"/>
      <c r="Z39" s="12"/>
      <c r="AA39" s="12"/>
    </row>
    <row r="40" spans="1:27" ht="7.9" customHeight="1">
      <c r="A40" s="343"/>
      <c r="B40" s="47" t="s">
        <v>25</v>
      </c>
      <c r="C40" s="64">
        <f>'Tender - Waste Monitoring'!O40</f>
        <v>0</v>
      </c>
      <c r="D40" s="45">
        <f>'Tender - Waste Monitoring'!P40</f>
        <v>0</v>
      </c>
      <c r="E40" s="118">
        <f>C40/E16</f>
        <v>0</v>
      </c>
      <c r="F40" s="64">
        <f>'Tender - Waste Monitoring'!O113</f>
        <v>2842</v>
      </c>
      <c r="G40" s="45">
        <f>'Tender - Waste Monitoring'!P113</f>
        <v>236.83333333333334</v>
      </c>
      <c r="H40" s="118">
        <f>F40/H16</f>
        <v>2.790457460251691E-3</v>
      </c>
      <c r="I40" s="64">
        <f>'Tender - Waste Monitoring'!O184</f>
        <v>0</v>
      </c>
      <c r="J40" s="45">
        <f>'Tender - Waste Monitoring'!P184</f>
        <v>0</v>
      </c>
      <c r="K40" s="118">
        <f>I40/K16</f>
        <v>0</v>
      </c>
      <c r="L40" s="64">
        <f>'Tender - Waste Monitoring'!O254</f>
        <v>0</v>
      </c>
      <c r="M40" s="45">
        <f>'Tender - Waste Monitoring'!P254</f>
        <v>0</v>
      </c>
      <c r="N40" s="118">
        <f>L40/N16</f>
        <v>0</v>
      </c>
      <c r="O40" s="64">
        <f>'Tender - Waste Monitoring'!O326</f>
        <v>0</v>
      </c>
      <c r="P40" s="45">
        <f>'Tender - Waste Monitoring'!P326</f>
        <v>0</v>
      </c>
      <c r="Q40" s="118">
        <f>O40/Q16</f>
        <v>0</v>
      </c>
      <c r="R40" s="64">
        <f>'Tender - Waste Monitoring'!O398</f>
        <v>0</v>
      </c>
      <c r="S40" s="45">
        <f>'Tender - Waste Monitoring'!P398</f>
        <v>0</v>
      </c>
      <c r="T40" s="118">
        <f>R40/T16</f>
        <v>0</v>
      </c>
      <c r="U40" s="92">
        <f t="shared" si="0"/>
        <v>2842</v>
      </c>
      <c r="V40" s="92">
        <f t="shared" si="1"/>
        <v>45.111111111111114</v>
      </c>
      <c r="W40" s="155">
        <f>U40/W16</f>
        <v>5.6492773944085556E-4</v>
      </c>
      <c r="X40" s="12"/>
      <c r="Y40" s="12"/>
      <c r="Z40" s="12"/>
      <c r="AA40" s="12"/>
    </row>
    <row r="41" spans="1:27" ht="7.9" customHeight="1">
      <c r="A41" s="343"/>
      <c r="B41" s="47" t="s">
        <v>26</v>
      </c>
      <c r="C41" s="64">
        <f>'Tender - Waste Monitoring'!O40</f>
        <v>0</v>
      </c>
      <c r="D41" s="45">
        <f>'Tender - Waste Monitoring'!P40</f>
        <v>0</v>
      </c>
      <c r="E41" s="118">
        <f>C41/E16</f>
        <v>0</v>
      </c>
      <c r="F41" s="64">
        <f>'Tender - Waste Monitoring'!O114</f>
        <v>251</v>
      </c>
      <c r="G41" s="45">
        <f>'Tender - Waste Monitoring'!P114</f>
        <v>20.916666666666668</v>
      </c>
      <c r="H41" s="118">
        <f>F41/H16</f>
        <v>2.4644786154932245E-4</v>
      </c>
      <c r="I41" s="64">
        <f>'Tender - Waste Monitoring'!O185</f>
        <v>18601</v>
      </c>
      <c r="J41" s="45">
        <f>'Tender - Waste Monitoring'!P185</f>
        <v>1550.0833333333333</v>
      </c>
      <c r="K41" s="118">
        <f>I41/K16</f>
        <v>1.7771039158194828E-2</v>
      </c>
      <c r="L41" s="64">
        <f>'Tender - Waste Monitoring'!O255</f>
        <v>386</v>
      </c>
      <c r="M41" s="45">
        <f>'Tender - Waste Monitoring'!P255</f>
        <v>32.166666666666664</v>
      </c>
      <c r="N41" s="118">
        <f>L41/N16</f>
        <v>3.4995796877867205E-4</v>
      </c>
      <c r="O41" s="64">
        <f>'Tender - Waste Monitoring'!O327</f>
        <v>0</v>
      </c>
      <c r="P41" s="45">
        <f>'Tender - Waste Monitoring'!P327</f>
        <v>0</v>
      </c>
      <c r="Q41" s="118">
        <f>O41/Q16</f>
        <v>0</v>
      </c>
      <c r="R41" s="64">
        <f>'Tender - Waste Monitoring'!O399</f>
        <v>0</v>
      </c>
      <c r="S41" s="45">
        <f>'Tender - Waste Monitoring'!P399</f>
        <v>0</v>
      </c>
      <c r="T41" s="118">
        <f>R41/T16</f>
        <v>0</v>
      </c>
      <c r="U41" s="92">
        <f t="shared" si="0"/>
        <v>19238</v>
      </c>
      <c r="V41" s="92">
        <f t="shared" si="1"/>
        <v>305.36507936507934</v>
      </c>
      <c r="W41" s="155">
        <f>U41/W16</f>
        <v>3.8240956549483391E-3</v>
      </c>
      <c r="X41" s="12"/>
      <c r="Y41" s="12"/>
      <c r="Z41" s="12"/>
      <c r="AA41" s="12"/>
    </row>
    <row r="42" spans="1:27" ht="7.9" customHeight="1">
      <c r="A42" s="343" t="s">
        <v>27</v>
      </c>
      <c r="B42" s="344"/>
      <c r="C42" s="65">
        <f>SUM(C34:C41)</f>
        <v>39803</v>
      </c>
      <c r="D42" s="32">
        <f>SUM(D34:D41)</f>
        <v>3316.9166666666665</v>
      </c>
      <c r="E42" s="119"/>
      <c r="F42" s="65">
        <f>SUM(F34:F41)</f>
        <v>52688</v>
      </c>
      <c r="G42" s="32">
        <f>SUM(G34:G41)</f>
        <v>4390.666666666667</v>
      </c>
      <c r="H42" s="119"/>
      <c r="I42" s="65">
        <f>SUM(I34:I41)</f>
        <v>82356</v>
      </c>
      <c r="J42" s="32">
        <f>SUM(J34:J41)</f>
        <v>6862.9999999999991</v>
      </c>
      <c r="K42" s="119"/>
      <c r="L42" s="65">
        <f>SUM(L34:L41)</f>
        <v>57721</v>
      </c>
      <c r="M42" s="32">
        <f>SUM(M34:M41)</f>
        <v>4810.0833333333339</v>
      </c>
      <c r="N42" s="119"/>
      <c r="O42" s="65">
        <f>SUM(O34:O41)</f>
        <v>13160</v>
      </c>
      <c r="P42" s="32">
        <f>SUM(P34:P41)</f>
        <v>1096.6666666666667</v>
      </c>
      <c r="Q42" s="119"/>
      <c r="R42" s="65">
        <f>SUM(R34:R41)</f>
        <v>25161</v>
      </c>
      <c r="S42" s="32">
        <f>SUM(S34:S41)</f>
        <v>2096.75</v>
      </c>
      <c r="T42" s="119"/>
      <c r="U42" s="92">
        <f t="shared" si="0"/>
        <v>270889</v>
      </c>
      <c r="V42" s="92">
        <f t="shared" si="1"/>
        <v>4299.8253968253966</v>
      </c>
      <c r="W42" s="155"/>
      <c r="X42" s="12"/>
      <c r="Y42" s="12"/>
      <c r="Z42" s="12"/>
      <c r="AA42" s="12"/>
    </row>
    <row r="43" spans="1:27" ht="7.9" customHeight="1">
      <c r="A43" s="17"/>
      <c r="B43" s="48"/>
      <c r="C43" s="66"/>
      <c r="D43" s="33"/>
      <c r="E43" s="120"/>
      <c r="F43" s="66"/>
      <c r="G43" s="33"/>
      <c r="H43" s="120"/>
      <c r="I43" s="66"/>
      <c r="J43" s="33"/>
      <c r="K43" s="120"/>
      <c r="L43" s="66"/>
      <c r="M43" s="33"/>
      <c r="N43" s="120"/>
      <c r="O43" s="66"/>
      <c r="P43" s="33"/>
      <c r="Q43" s="120"/>
      <c r="R43" s="66"/>
      <c r="S43" s="33"/>
      <c r="T43" s="120"/>
      <c r="U43" s="93"/>
      <c r="V43" s="93"/>
      <c r="W43" s="156"/>
      <c r="X43" s="12"/>
      <c r="Y43" s="12"/>
      <c r="Z43" s="12"/>
      <c r="AA43" s="12"/>
    </row>
    <row r="44" spans="1:27" ht="7.9" customHeight="1">
      <c r="A44" s="343" t="s">
        <v>28</v>
      </c>
      <c r="B44" s="47" t="s">
        <v>29</v>
      </c>
      <c r="C44" s="64">
        <f>'Tender - Waste Monitoring'!O44</f>
        <v>178320</v>
      </c>
      <c r="D44" s="45">
        <f>'Tender - Waste Monitoring'!P44</f>
        <v>14860</v>
      </c>
      <c r="E44" s="118">
        <f>C44/E16</f>
        <v>0.1619202330372847</v>
      </c>
      <c r="F44" s="64">
        <f>'Tender - Waste Monitoring'!O117</f>
        <v>60984</v>
      </c>
      <c r="G44" s="45">
        <f>'Tender - Waste Monitoring'!P117</f>
        <v>5082</v>
      </c>
      <c r="H44" s="118">
        <f>F44/H16</f>
        <v>5.9877993580573233E-2</v>
      </c>
      <c r="I44" s="64">
        <f>'Tender - Waste Monitoring'!O188</f>
        <v>24277</v>
      </c>
      <c r="J44" s="45">
        <f>'Tender - Waste Monitoring'!P188</f>
        <v>2023.0833333333333</v>
      </c>
      <c r="K44" s="118">
        <f>I44/K16</f>
        <v>2.3193780852830269E-2</v>
      </c>
      <c r="L44" s="64">
        <f>'Tender - Waste Monitoring'!O258</f>
        <v>19280</v>
      </c>
      <c r="M44" s="45">
        <f>'Tender - Waste Monitoring'!P258</f>
        <v>1606.6666666666667</v>
      </c>
      <c r="N44" s="118">
        <f>L44/N16</f>
        <v>1.7479765901691185E-2</v>
      </c>
      <c r="O44" s="64">
        <f>'Tender - Waste Monitoring'!O330</f>
        <v>1674</v>
      </c>
      <c r="P44" s="45">
        <f>'Tender - Waste Monitoring'!P330</f>
        <v>139.5</v>
      </c>
      <c r="Q44" s="118">
        <f>O44/Q16</f>
        <v>6.8915944778320378E-3</v>
      </c>
      <c r="R44" s="64">
        <f>'Tender - Waste Monitoring'!O402</f>
        <v>10187</v>
      </c>
      <c r="S44" s="45">
        <f>'Tender - Waste Monitoring'!P402</f>
        <v>848.91666666666663</v>
      </c>
      <c r="T44" s="118">
        <f>R44/T16</f>
        <v>1.9651580392557051E-2</v>
      </c>
      <c r="U44" s="92">
        <f>SUM(C44,F44,I44,L44,O44,R44)</f>
        <v>294722</v>
      </c>
      <c r="V44" s="92">
        <f>U44/63</f>
        <v>4678.1269841269841</v>
      </c>
      <c r="W44" s="155">
        <f>U44/W16</f>
        <v>5.8584318516357439E-2</v>
      </c>
      <c r="X44" s="12"/>
      <c r="Y44" s="12"/>
      <c r="Z44" s="12"/>
      <c r="AA44" s="12"/>
    </row>
    <row r="45" spans="1:27" ht="7.9" customHeight="1">
      <c r="A45" s="343"/>
      <c r="B45" s="47" t="s">
        <v>30</v>
      </c>
      <c r="C45" s="64">
        <f>'Tender - Waste Monitoring'!O45</f>
        <v>34140</v>
      </c>
      <c r="D45" s="45">
        <f>'Tender - Waste Monitoring'!P45</f>
        <v>2845</v>
      </c>
      <c r="E45" s="118">
        <f>C45/E16</f>
        <v>3.1000206123221734E-2</v>
      </c>
      <c r="F45" s="64">
        <f>'Tender - Waste Monitoring'!O118</f>
        <v>101400</v>
      </c>
      <c r="G45" s="45">
        <f>'Tender - Waste Monitoring'!P118</f>
        <v>8450</v>
      </c>
      <c r="H45" s="118">
        <f>F45/H16</f>
        <v>9.9561008609965335E-2</v>
      </c>
      <c r="I45" s="64">
        <f>'Tender - Waste Monitoring'!O189</f>
        <v>130265</v>
      </c>
      <c r="J45" s="45">
        <f>'Tender - Waste Monitoring'!P189</f>
        <v>10855.416666666666</v>
      </c>
      <c r="K45" s="118">
        <f>I45/K16</f>
        <v>0.12445268619656197</v>
      </c>
      <c r="L45" s="64">
        <f>'Tender - Waste Monitoring'!O259</f>
        <v>109917</v>
      </c>
      <c r="M45" s="45">
        <f>'Tender - Waste Monitoring'!P259</f>
        <v>9159.75</v>
      </c>
      <c r="N45" s="118">
        <f>L45/N16</f>
        <v>9.9653704803744289E-2</v>
      </c>
      <c r="O45" s="64">
        <f>'Tender - Waste Monitoring'!O331</f>
        <v>14836</v>
      </c>
      <c r="P45" s="45">
        <f>'Tender - Waste Monitoring'!P331</f>
        <v>1236.3333333333333</v>
      </c>
      <c r="Q45" s="118">
        <f>O45/Q16</f>
        <v>6.107747650723782E-2</v>
      </c>
      <c r="R45" s="64">
        <f>'Tender - Waste Monitoring'!O403</f>
        <v>20066</v>
      </c>
      <c r="S45" s="45">
        <f>'Tender - Waste Monitoring'!P403</f>
        <v>1672.1666666666667</v>
      </c>
      <c r="T45" s="118">
        <f>R45/T16</f>
        <v>3.8709002862182172E-2</v>
      </c>
      <c r="U45" s="92">
        <f>SUM(C45,F45,I45,L45,O45,R45)</f>
        <v>410624</v>
      </c>
      <c r="V45" s="92">
        <f>U45/63</f>
        <v>6517.8412698412694</v>
      </c>
      <c r="W45" s="155">
        <f>U45/W16</f>
        <v>8.162311332869876E-2</v>
      </c>
      <c r="X45" s="12"/>
      <c r="Y45" s="12"/>
      <c r="Z45" s="12"/>
      <c r="AA45" s="12"/>
    </row>
    <row r="46" spans="1:27" ht="7.9" customHeight="1">
      <c r="A46" s="343"/>
      <c r="B46" s="47" t="s">
        <v>31</v>
      </c>
      <c r="C46" s="64">
        <f>'Tender - Waste Monitoring'!O46</f>
        <v>66285</v>
      </c>
      <c r="D46" s="45">
        <f>'Tender - Waste Monitoring'!P46</f>
        <v>5523.75</v>
      </c>
      <c r="E46" s="118">
        <f>C46/E16</f>
        <v>6.0188888777907221E-2</v>
      </c>
      <c r="F46" s="64">
        <f>'Tender - Waste Monitoring'!O119</f>
        <v>63560</v>
      </c>
      <c r="G46" s="45">
        <f>'Tender - Waste Monitoring'!P119</f>
        <v>5296.666666666667</v>
      </c>
      <c r="H46" s="118">
        <f>F46/H16</f>
        <v>6.2407275219422055E-2</v>
      </c>
      <c r="I46" s="64">
        <f>'Tender - Waste Monitoring'!O190</f>
        <v>66848</v>
      </c>
      <c r="J46" s="45">
        <f>'Tender - Waste Monitoring'!P190</f>
        <v>5570.666666666667</v>
      </c>
      <c r="K46" s="118">
        <f>I46/K16</f>
        <v>6.3865298943444324E-2</v>
      </c>
      <c r="L46" s="64">
        <f>'Tender - Waste Monitoring'!O260</f>
        <v>68180</v>
      </c>
      <c r="M46" s="45">
        <f>'Tender - Waste Monitoring'!P260</f>
        <v>5681.666666666667</v>
      </c>
      <c r="N46" s="118">
        <f>L46/N16</f>
        <v>6.1813819459403785E-2</v>
      </c>
      <c r="O46" s="64">
        <f>'Tender - Waste Monitoring'!O332</f>
        <v>16047</v>
      </c>
      <c r="P46" s="45">
        <f>'Tender - Waste Monitoring'!P332</f>
        <v>1337.25</v>
      </c>
      <c r="Q46" s="118">
        <f>O46/Q16</f>
        <v>6.6062972870830766E-2</v>
      </c>
      <c r="R46" s="64">
        <f>'Tender - Waste Monitoring'!O404</f>
        <v>37239</v>
      </c>
      <c r="S46" s="45">
        <f>'Tender - Waste Monitoring'!P404</f>
        <v>3103.25</v>
      </c>
      <c r="T46" s="118">
        <f>R46/T16</f>
        <v>7.1837165233968006E-2</v>
      </c>
      <c r="U46" s="92">
        <f>SUM(C46,F46,I46,L46,O46,R46)</f>
        <v>318159</v>
      </c>
      <c r="V46" s="92">
        <f>U46/63</f>
        <v>5050.1428571428569</v>
      </c>
      <c r="W46" s="155">
        <f>U46/W16</f>
        <v>6.3243083973526806E-2</v>
      </c>
      <c r="X46" s="12"/>
      <c r="Y46" s="12"/>
      <c r="Z46" s="12"/>
      <c r="AA46" s="12"/>
    </row>
    <row r="47" spans="1:27" ht="7.9" customHeight="1">
      <c r="A47" s="343"/>
      <c r="B47" s="47" t="s">
        <v>32</v>
      </c>
      <c r="C47" s="64">
        <f>'Tender - Waste Monitoring'!O47</f>
        <v>6561</v>
      </c>
      <c r="D47" s="45">
        <f>'Tender - Waste Monitoring'!P47</f>
        <v>546.75</v>
      </c>
      <c r="E47" s="118">
        <f>C47/E16</f>
        <v>5.9575967303590448E-3</v>
      </c>
      <c r="F47" s="64">
        <f>'Tender - Waste Monitoring'!O120</f>
        <v>9691</v>
      </c>
      <c r="G47" s="45">
        <f>'Tender - Waste Monitoring'!P120</f>
        <v>807.58333333333337</v>
      </c>
      <c r="H47" s="118">
        <f>F47/H16</f>
        <v>9.5152439293804143E-3</v>
      </c>
      <c r="I47" s="64">
        <f>'Tender - Waste Monitoring'!O191</f>
        <v>16485</v>
      </c>
      <c r="J47" s="45">
        <f>'Tender - Waste Monitoring'!P191</f>
        <v>1373.75</v>
      </c>
      <c r="K47" s="118">
        <f>I47/K16</f>
        <v>1.5749453283309591E-2</v>
      </c>
      <c r="L47" s="64">
        <f>'Tender - Waste Monitoring'!O261</f>
        <v>10640</v>
      </c>
      <c r="M47" s="45">
        <f>'Tender - Waste Monitoring'!P261</f>
        <v>886.66666666666663</v>
      </c>
      <c r="N47" s="118">
        <f>L47/N16</f>
        <v>9.6465098129665042E-3</v>
      </c>
      <c r="O47" s="64">
        <f>'Tender - Waste Monitoring'!O333</f>
        <v>4640</v>
      </c>
      <c r="P47" s="45">
        <f>'Tender - Waste Monitoring'!P333</f>
        <v>386.66666666666669</v>
      </c>
      <c r="Q47" s="118">
        <f>O47/Q16</f>
        <v>1.910214956818438E-2</v>
      </c>
      <c r="R47" s="64">
        <f>'Tender - Waste Monitoring'!O405</f>
        <v>6937</v>
      </c>
      <c r="S47" s="45">
        <f>'Tender - Waste Monitoring'!P405</f>
        <v>578.08333333333337</v>
      </c>
      <c r="T47" s="118">
        <f>R47/T16</f>
        <v>1.3382056855125972E-2</v>
      </c>
      <c r="U47" s="92">
        <f>SUM(C47,F47,I47,L47,O47,R47)</f>
        <v>54954</v>
      </c>
      <c r="V47" s="92">
        <f>U47/63</f>
        <v>872.28571428571433</v>
      </c>
      <c r="W47" s="155">
        <f>U47/W16</f>
        <v>1.0923659040546367E-2</v>
      </c>
      <c r="X47" s="12"/>
      <c r="Y47" s="12"/>
      <c r="Z47" s="12"/>
      <c r="AA47" s="12"/>
    </row>
    <row r="48" spans="1:27" ht="7.9" customHeight="1">
      <c r="A48" s="343" t="s">
        <v>27</v>
      </c>
      <c r="B48" s="344"/>
      <c r="C48" s="65">
        <f>SUM(C44:C47)</f>
        <v>285306</v>
      </c>
      <c r="D48" s="32">
        <f>SUM(D44:D47)</f>
        <v>23775.5</v>
      </c>
      <c r="E48" s="119"/>
      <c r="F48" s="65">
        <f>SUM(F44:F47)</f>
        <v>235635</v>
      </c>
      <c r="G48" s="32">
        <f>SUM(G44:G47)</f>
        <v>19636.25</v>
      </c>
      <c r="H48" s="119"/>
      <c r="I48" s="65">
        <f>SUM(I44:I47)</f>
        <v>237875</v>
      </c>
      <c r="J48" s="32">
        <f>SUM(J44:J47)</f>
        <v>19822.916666666668</v>
      </c>
      <c r="K48" s="119"/>
      <c r="L48" s="65">
        <f>SUM(L44:L47)</f>
        <v>208017</v>
      </c>
      <c r="M48" s="32">
        <f>SUM(M44:M47)</f>
        <v>17334.75</v>
      </c>
      <c r="N48" s="119"/>
      <c r="O48" s="65">
        <f>SUM(O44:O47)</f>
        <v>37197</v>
      </c>
      <c r="P48" s="32">
        <f>SUM(P44:P47)</f>
        <v>3099.7499999999995</v>
      </c>
      <c r="Q48" s="119"/>
      <c r="R48" s="65">
        <f>SUM(R44:R47)</f>
        <v>74429</v>
      </c>
      <c r="S48" s="32">
        <f>SUM(S44:S47)</f>
        <v>6202.416666666667</v>
      </c>
      <c r="T48" s="119"/>
      <c r="U48" s="92">
        <f>SUM(C48,F48,I48,L48,O48,R48)</f>
        <v>1078459</v>
      </c>
      <c r="V48" s="92">
        <f>U48/63</f>
        <v>17118.396825396827</v>
      </c>
      <c r="W48" s="155"/>
      <c r="X48" s="12"/>
      <c r="Y48" s="12"/>
      <c r="Z48" s="12"/>
      <c r="AA48" s="12"/>
    </row>
    <row r="49" spans="1:27" ht="7.9" customHeight="1">
      <c r="A49" s="17"/>
      <c r="B49" s="48"/>
      <c r="C49" s="66"/>
      <c r="D49" s="33"/>
      <c r="E49" s="120"/>
      <c r="F49" s="66"/>
      <c r="G49" s="33"/>
      <c r="H49" s="120"/>
      <c r="I49" s="66"/>
      <c r="J49" s="33"/>
      <c r="K49" s="120"/>
      <c r="L49" s="66"/>
      <c r="M49" s="33"/>
      <c r="N49" s="120"/>
      <c r="O49" s="66"/>
      <c r="P49" s="33"/>
      <c r="Q49" s="120"/>
      <c r="R49" s="66"/>
      <c r="S49" s="33"/>
      <c r="T49" s="120"/>
      <c r="U49" s="93"/>
      <c r="V49" s="93"/>
      <c r="W49" s="156"/>
      <c r="X49" s="12"/>
      <c r="Y49" s="12"/>
      <c r="Z49" s="12"/>
      <c r="AA49" s="12"/>
    </row>
    <row r="50" spans="1:27" ht="7.9" customHeight="1">
      <c r="A50" s="343" t="s">
        <v>33</v>
      </c>
      <c r="B50" s="47" t="s">
        <v>34</v>
      </c>
      <c r="C50" s="64">
        <f>'Tender - Waste Monitoring'!O50</f>
        <v>0</v>
      </c>
      <c r="D50" s="45">
        <f>'Tender - Waste Monitoring'!P50</f>
        <v>0</v>
      </c>
      <c r="E50" s="118">
        <f>C50/E16</f>
        <v>0</v>
      </c>
      <c r="F50" s="64">
        <f>'Tender - Waste Monitoring'!O123</f>
        <v>0</v>
      </c>
      <c r="G50" s="45">
        <f>'Tender - Waste Monitoring'!P123</f>
        <v>0</v>
      </c>
      <c r="H50" s="118">
        <f>F50/H16</f>
        <v>0</v>
      </c>
      <c r="I50" s="64">
        <f>'Tender - Waste Monitoring'!O194</f>
        <v>0</v>
      </c>
      <c r="J50" s="45">
        <f>'Tender - Waste Monitoring'!P194</f>
        <v>0</v>
      </c>
      <c r="K50" s="118">
        <f>I50/K16</f>
        <v>0</v>
      </c>
      <c r="L50" s="64">
        <f>'Tender - Waste Monitoring'!O264</f>
        <v>0</v>
      </c>
      <c r="M50" s="45">
        <f>'Tender - Waste Monitoring'!P264</f>
        <v>0</v>
      </c>
      <c r="N50" s="118">
        <f>L50/N16</f>
        <v>0</v>
      </c>
      <c r="O50" s="64">
        <f>'Tender - Waste Monitoring'!O336</f>
        <v>0</v>
      </c>
      <c r="P50" s="45">
        <f>'Tender - Waste Monitoring'!P336</f>
        <v>0</v>
      </c>
      <c r="Q50" s="118">
        <f>O50/Q16</f>
        <v>0</v>
      </c>
      <c r="R50" s="64">
        <f>'Tender - Waste Monitoring'!O408</f>
        <v>0</v>
      </c>
      <c r="S50" s="45">
        <f>'Tender - Waste Monitoring'!P408</f>
        <v>0</v>
      </c>
      <c r="T50" s="118">
        <f>R50/T16</f>
        <v>0</v>
      </c>
      <c r="U50" s="91">
        <f>SUM(C50,F50,I50,L50,O50,R50)</f>
        <v>0</v>
      </c>
      <c r="V50" s="91">
        <f>U50/63</f>
        <v>0</v>
      </c>
      <c r="W50" s="154">
        <f>U50/W16</f>
        <v>0</v>
      </c>
      <c r="X50" s="12"/>
      <c r="Y50" s="12"/>
      <c r="Z50" s="12"/>
      <c r="AA50" s="12"/>
    </row>
    <row r="51" spans="1:27" ht="7.9" customHeight="1">
      <c r="A51" s="343"/>
      <c r="B51" s="47" t="s">
        <v>35</v>
      </c>
      <c r="C51" s="64">
        <f>'Tender - Waste Monitoring'!O51</f>
        <v>0</v>
      </c>
      <c r="D51" s="45">
        <f>'Tender - Waste Monitoring'!P51</f>
        <v>0</v>
      </c>
      <c r="E51" s="118">
        <f>C51/E16</f>
        <v>0</v>
      </c>
      <c r="F51" s="64">
        <f>'Tender - Waste Monitoring'!O124</f>
        <v>0</v>
      </c>
      <c r="G51" s="45">
        <f>'Tender - Waste Monitoring'!P124</f>
        <v>0</v>
      </c>
      <c r="H51" s="118">
        <f>F51/H16</f>
        <v>0</v>
      </c>
      <c r="I51" s="64">
        <f>'Tender - Waste Monitoring'!O195</f>
        <v>0</v>
      </c>
      <c r="J51" s="45">
        <f>'Tender - Waste Monitoring'!P195</f>
        <v>0</v>
      </c>
      <c r="K51" s="118">
        <f>I51/K16</f>
        <v>0</v>
      </c>
      <c r="L51" s="64">
        <f>'Tender - Waste Monitoring'!O265</f>
        <v>0</v>
      </c>
      <c r="M51" s="45">
        <f>'Tender - Waste Monitoring'!P265</f>
        <v>0</v>
      </c>
      <c r="N51" s="118">
        <f>L51/N16</f>
        <v>0</v>
      </c>
      <c r="O51" s="64">
        <f>'Tender - Waste Monitoring'!O337</f>
        <v>0</v>
      </c>
      <c r="P51" s="45">
        <f>'Tender - Waste Monitoring'!P337</f>
        <v>0</v>
      </c>
      <c r="Q51" s="118">
        <f>O51/Q16</f>
        <v>0</v>
      </c>
      <c r="R51" s="64">
        <f>'Tender - Waste Monitoring'!O409</f>
        <v>0</v>
      </c>
      <c r="S51" s="45">
        <f>'Tender - Waste Monitoring'!P409</f>
        <v>0</v>
      </c>
      <c r="T51" s="118">
        <f>R51/T16</f>
        <v>0</v>
      </c>
      <c r="U51" s="91">
        <f>SUM(C51,F51,I51,L51,O51,R51)</f>
        <v>0</v>
      </c>
      <c r="V51" s="91">
        <f>U51/63</f>
        <v>0</v>
      </c>
      <c r="W51" s="154">
        <f>U51/W16</f>
        <v>0</v>
      </c>
      <c r="X51" s="12"/>
      <c r="Y51" s="12"/>
      <c r="Z51" s="12"/>
      <c r="AA51" s="12"/>
    </row>
    <row r="52" spans="1:27" ht="7.9" customHeight="1">
      <c r="A52" s="343" t="s">
        <v>27</v>
      </c>
      <c r="B52" s="344"/>
      <c r="C52" s="65">
        <v>0</v>
      </c>
      <c r="D52" s="32">
        <v>0</v>
      </c>
      <c r="E52" s="119"/>
      <c r="F52" s="65">
        <v>0</v>
      </c>
      <c r="G52" s="32">
        <v>0</v>
      </c>
      <c r="H52" s="119"/>
      <c r="I52" s="65">
        <v>0</v>
      </c>
      <c r="J52" s="32">
        <v>0</v>
      </c>
      <c r="K52" s="119"/>
      <c r="L52" s="65">
        <v>0</v>
      </c>
      <c r="M52" s="32">
        <v>0</v>
      </c>
      <c r="N52" s="119"/>
      <c r="O52" s="65">
        <v>0</v>
      </c>
      <c r="P52" s="32">
        <v>0</v>
      </c>
      <c r="Q52" s="119"/>
      <c r="R52" s="65">
        <v>0</v>
      </c>
      <c r="S52" s="32">
        <v>0</v>
      </c>
      <c r="T52" s="119"/>
      <c r="U52" s="91">
        <f>SUM(C52,F52,I52,L52,O52,R52)</f>
        <v>0</v>
      </c>
      <c r="V52" s="91">
        <f>U52/63</f>
        <v>0</v>
      </c>
      <c r="W52" s="154"/>
      <c r="X52" s="12"/>
      <c r="Y52" s="12"/>
      <c r="Z52" s="12"/>
      <c r="AA52" s="12"/>
    </row>
    <row r="53" spans="1:27" ht="7.9" customHeight="1">
      <c r="A53" s="17"/>
      <c r="B53" s="48"/>
      <c r="C53" s="66"/>
      <c r="D53" s="33"/>
      <c r="E53" s="120"/>
      <c r="F53" s="66"/>
      <c r="G53" s="33"/>
      <c r="H53" s="120"/>
      <c r="I53" s="66"/>
      <c r="J53" s="33"/>
      <c r="K53" s="120"/>
      <c r="L53" s="66"/>
      <c r="M53" s="33"/>
      <c r="N53" s="120"/>
      <c r="O53" s="66"/>
      <c r="P53" s="33"/>
      <c r="Q53" s="120"/>
      <c r="R53" s="66"/>
      <c r="S53" s="33"/>
      <c r="T53" s="120"/>
      <c r="U53" s="94"/>
      <c r="V53" s="94"/>
      <c r="W53" s="157"/>
      <c r="X53" s="12"/>
      <c r="Y53" s="12"/>
      <c r="Z53" s="12"/>
      <c r="AA53" s="12"/>
    </row>
    <row r="54" spans="1:27" ht="7.9" customHeight="1">
      <c r="A54" s="343" t="s">
        <v>36</v>
      </c>
      <c r="B54" s="47" t="s">
        <v>37</v>
      </c>
      <c r="C54" s="64">
        <f>'Tender - Waste Monitoring'!O54</f>
        <v>960</v>
      </c>
      <c r="D54" s="45">
        <f>'Tender - Waste Monitoring'!P54</f>
        <v>80</v>
      </c>
      <c r="E54" s="118">
        <f>C54/E16</f>
        <v>8.7171054125052328E-4</v>
      </c>
      <c r="F54" s="64">
        <f>'Tender - Waste Monitoring'!O127</f>
        <v>3720</v>
      </c>
      <c r="G54" s="45">
        <f>'Tender - Waste Monitoring'!P127</f>
        <v>310</v>
      </c>
      <c r="H54" s="118">
        <f>F54/H16</f>
        <v>3.6525340436792016E-3</v>
      </c>
      <c r="I54" s="64">
        <f>'Tender - Waste Monitoring'!O198</f>
        <v>0</v>
      </c>
      <c r="J54" s="45">
        <f>'Tender - Waste Monitoring'!P198</f>
        <v>0</v>
      </c>
      <c r="K54" s="118">
        <f>I54/K16</f>
        <v>0</v>
      </c>
      <c r="L54" s="64">
        <f>'Tender - Waste Monitoring'!O268</f>
        <v>760</v>
      </c>
      <c r="M54" s="45">
        <f>'Tender - Waste Monitoring'!P268</f>
        <v>63.333333333333336</v>
      </c>
      <c r="N54" s="118">
        <f>L54/N16</f>
        <v>6.8903641521189316E-4</v>
      </c>
      <c r="O54" s="64">
        <f>'Tender - Waste Monitoring'!O340</f>
        <v>971</v>
      </c>
      <c r="P54" s="45">
        <f>'Tender - Waste Monitoring'!P340</f>
        <v>80.916666666666671</v>
      </c>
      <c r="Q54" s="118">
        <f>O54/Q16</f>
        <v>3.9974541445489302E-3</v>
      </c>
      <c r="R54" s="64">
        <f>'Tender - Waste Monitoring'!O412</f>
        <v>0</v>
      </c>
      <c r="S54" s="45">
        <f>'Tender - Waste Monitoring'!P412</f>
        <v>0</v>
      </c>
      <c r="T54" s="118">
        <f>R54/T16</f>
        <v>0</v>
      </c>
      <c r="U54" s="91">
        <f>SUM(C54,F54,I54,L54,O54,R54)</f>
        <v>6411</v>
      </c>
      <c r="V54" s="91">
        <f>U54/63</f>
        <v>101.76190476190476</v>
      </c>
      <c r="W54" s="154">
        <f>U54/W16</f>
        <v>1.2743672545937105E-3</v>
      </c>
      <c r="X54" s="12"/>
      <c r="Y54" s="12"/>
      <c r="Z54" s="12"/>
      <c r="AA54" s="12"/>
    </row>
    <row r="55" spans="1:27" ht="7.9" customHeight="1">
      <c r="A55" s="343"/>
      <c r="B55" s="47" t="s">
        <v>38</v>
      </c>
      <c r="C55" s="64">
        <f>'Tender - Waste Monitoring'!O55</f>
        <v>11675</v>
      </c>
      <c r="D55" s="45">
        <f>'Tender - Waste Monitoring'!P55</f>
        <v>972.91666666666663</v>
      </c>
      <c r="E55" s="118">
        <f>C55/E16</f>
        <v>1.0601271426145687E-2</v>
      </c>
      <c r="F55" s="64">
        <f>'Tender - Waste Monitoring'!O128</f>
        <v>11396</v>
      </c>
      <c r="G55" s="45">
        <f>'Tender - Waste Monitoring'!P128</f>
        <v>949.66666666666663</v>
      </c>
      <c r="H55" s="118">
        <f>F55/H16</f>
        <v>1.1189322032733382E-2</v>
      </c>
      <c r="I55" s="64">
        <f>'Tender - Waste Monitoring'!O199</f>
        <v>13352</v>
      </c>
      <c r="J55" s="45">
        <f>'Tender - Waste Monitoring'!P199</f>
        <v>1112.6666666666667</v>
      </c>
      <c r="K55" s="118">
        <f>I55/K16</f>
        <v>1.2756245085759762E-2</v>
      </c>
      <c r="L55" s="64">
        <f>'Tender - Waste Monitoring'!O269</f>
        <v>15349.699999999999</v>
      </c>
      <c r="M55" s="45">
        <f>'Tender - Waste Monitoring'!P269</f>
        <v>1279.1416666666667</v>
      </c>
      <c r="N55" s="118">
        <f>L55/N16</f>
        <v>1.3916450345497362E-2</v>
      </c>
      <c r="O55" s="64">
        <f>'Tender - Waste Monitoring'!O341</f>
        <v>1707.6</v>
      </c>
      <c r="P55" s="45">
        <f>'Tender - Waste Monitoring'!P341</f>
        <v>142.29999999999998</v>
      </c>
      <c r="Q55" s="118">
        <f>O55/Q16</f>
        <v>7.0299203884982E-3</v>
      </c>
      <c r="R55" s="64">
        <f>'Tender - Waste Monitoring'!O413</f>
        <v>5568.2</v>
      </c>
      <c r="S55" s="45">
        <f>'Tender - Waste Monitoring'!P413</f>
        <v>464.01666666666665</v>
      </c>
      <c r="T55" s="118">
        <f>R55/T16</f>
        <v>1.0741526449576537E-2</v>
      </c>
      <c r="U55" s="91">
        <f>SUM(C55,F55,I55,L55,O55,R55)</f>
        <v>59048.499999999993</v>
      </c>
      <c r="V55" s="91">
        <f>U55/63</f>
        <v>937.27777777777771</v>
      </c>
      <c r="W55" s="154">
        <f>U55/W16</f>
        <v>1.173755651737275E-2</v>
      </c>
      <c r="X55" s="12"/>
      <c r="Y55" s="12"/>
      <c r="Z55" s="12"/>
      <c r="AA55" s="12"/>
    </row>
    <row r="56" spans="1:27" ht="7.9" customHeight="1">
      <c r="A56" s="343"/>
      <c r="B56" s="47" t="s">
        <v>39</v>
      </c>
      <c r="C56" s="64">
        <f>'Tender - Waste Monitoring'!O56</f>
        <v>277</v>
      </c>
      <c r="D56" s="45">
        <f>'Tender - Waste Monitoring'!P56</f>
        <v>23.083333333333332</v>
      </c>
      <c r="E56" s="118">
        <f>C56/E16</f>
        <v>2.5152481242332809E-4</v>
      </c>
      <c r="F56" s="64">
        <f>'Tender - Waste Monitoring'!O129</f>
        <v>860</v>
      </c>
      <c r="G56" s="45">
        <f>'Tender - Waste Monitoring'!P129</f>
        <v>71.666666666666671</v>
      </c>
      <c r="H56" s="118">
        <f>F56/H16</f>
        <v>8.4440303160325623E-4</v>
      </c>
      <c r="I56" s="64">
        <f>'Tender - Waste Monitoring'!O200</f>
        <v>268</v>
      </c>
      <c r="J56" s="45">
        <f>'Tender - Waste Monitoring'!P200</f>
        <v>22.333333333333332</v>
      </c>
      <c r="K56" s="118">
        <f>I56/K16</f>
        <v>2.5604206732950991E-4</v>
      </c>
      <c r="L56" s="64">
        <f>'Tender - Waste Monitoring'!O270</f>
        <v>480</v>
      </c>
      <c r="M56" s="45">
        <f>'Tender - Waste Monitoring'!P270</f>
        <v>40</v>
      </c>
      <c r="N56" s="118">
        <f>L56/N16</f>
        <v>4.3518089381803778E-4</v>
      </c>
      <c r="O56" s="64">
        <f>'Tender - Waste Monitoring'!O342</f>
        <v>166</v>
      </c>
      <c r="P56" s="45">
        <f>'Tender - Waste Monitoring'!P342</f>
        <v>13.833333333333334</v>
      </c>
      <c r="Q56" s="118">
        <f>O56/Q16</f>
        <v>6.8339586817211368E-4</v>
      </c>
      <c r="R56" s="64">
        <f>'Tender - Waste Monitoring'!O414</f>
        <v>836</v>
      </c>
      <c r="S56" s="45">
        <f>'Tender - Waste Monitoring'!P414</f>
        <v>69.666666666666671</v>
      </c>
      <c r="T56" s="118">
        <f>R56/T16</f>
        <v>1.6127143622438104E-3</v>
      </c>
      <c r="U56" s="91">
        <f>SUM(C56,F56,I56,L56,O56,R56)</f>
        <v>2887</v>
      </c>
      <c r="V56" s="91">
        <f>U56/63</f>
        <v>45.825396825396822</v>
      </c>
      <c r="W56" s="154">
        <f>U56/W16</f>
        <v>5.7387275994572485E-4</v>
      </c>
      <c r="X56" s="12"/>
      <c r="Y56" s="12"/>
      <c r="Z56" s="12"/>
      <c r="AA56" s="12"/>
    </row>
    <row r="57" spans="1:27" ht="7.9" customHeight="1">
      <c r="A57" s="343" t="s">
        <v>27</v>
      </c>
      <c r="B57" s="344"/>
      <c r="C57" s="67">
        <f>SUM(C54:C56)</f>
        <v>12912</v>
      </c>
      <c r="D57" s="34">
        <f>SUM(D54:D56)</f>
        <v>1075.9999999999998</v>
      </c>
      <c r="E57" s="121"/>
      <c r="F57" s="67">
        <f>SUM(F54:F56)</f>
        <v>15976</v>
      </c>
      <c r="G57" s="34">
        <f>SUM(G54:G56)</f>
        <v>1331.3333333333333</v>
      </c>
      <c r="H57" s="121"/>
      <c r="I57" s="67">
        <f>SUM(I54:I56)</f>
        <v>13620</v>
      </c>
      <c r="J57" s="34">
        <f>SUM(J54:J56)</f>
        <v>1135</v>
      </c>
      <c r="K57" s="121"/>
      <c r="L57" s="67">
        <f>SUM(L54:L56)</f>
        <v>16589.699999999997</v>
      </c>
      <c r="M57" s="34">
        <f>SUM(M54:M56)</f>
        <v>1382.4749999999999</v>
      </c>
      <c r="N57" s="121"/>
      <c r="O57" s="67">
        <f>SUM(O54:O56)</f>
        <v>2844.6</v>
      </c>
      <c r="P57" s="34">
        <f>SUM(P54:P56)</f>
        <v>237.04999999999998</v>
      </c>
      <c r="Q57" s="121"/>
      <c r="R57" s="67">
        <f>SUM(R54:R56)</f>
        <v>6404.2</v>
      </c>
      <c r="S57" s="34">
        <f>SUM(S54:S56)</f>
        <v>533.68333333333328</v>
      </c>
      <c r="T57" s="121"/>
      <c r="U57" s="91">
        <f>SUM(C57,F57,I57,L57,O57,R57)</f>
        <v>68346.5</v>
      </c>
      <c r="V57" s="91">
        <f>U57/63</f>
        <v>1084.8650793650793</v>
      </c>
      <c r="W57" s="154"/>
      <c r="X57" s="12"/>
      <c r="Y57" s="12"/>
      <c r="Z57" s="12"/>
      <c r="AA57" s="12"/>
    </row>
    <row r="58" spans="1:27" ht="7.9" customHeight="1">
      <c r="A58" s="17"/>
      <c r="B58" s="48"/>
      <c r="C58" s="66"/>
      <c r="D58" s="33"/>
      <c r="E58" s="120"/>
      <c r="F58" s="66"/>
      <c r="G58" s="33"/>
      <c r="H58" s="120"/>
      <c r="I58" s="66"/>
      <c r="J58" s="33"/>
      <c r="K58" s="120"/>
      <c r="L58" s="66"/>
      <c r="M58" s="33"/>
      <c r="N58" s="120"/>
      <c r="O58" s="66"/>
      <c r="P58" s="33"/>
      <c r="Q58" s="120"/>
      <c r="R58" s="66"/>
      <c r="S58" s="33"/>
      <c r="T58" s="120"/>
      <c r="U58" s="94"/>
      <c r="V58" s="94"/>
      <c r="W58" s="157"/>
      <c r="X58" s="12"/>
      <c r="Y58" s="12"/>
      <c r="Z58" s="12"/>
      <c r="AA58" s="12"/>
    </row>
    <row r="59" spans="1:27" ht="7.9" customHeight="1">
      <c r="A59" s="343" t="s">
        <v>13</v>
      </c>
      <c r="B59" s="47" t="s">
        <v>40</v>
      </c>
      <c r="C59" s="64">
        <f>'Tender - Waste Monitoring'!O59</f>
        <v>1038</v>
      </c>
      <c r="D59" s="45">
        <f>'Tender - Waste Monitoring'!P59</f>
        <v>86.5</v>
      </c>
      <c r="E59" s="118">
        <f>C59/E16</f>
        <v>9.4253702272712825E-4</v>
      </c>
      <c r="F59" s="64">
        <f>'Tender - Waste Monitoring'!O132</f>
        <v>1530</v>
      </c>
      <c r="G59" s="45">
        <f>'Tender - Waste Monitoring'!P132</f>
        <v>127.5</v>
      </c>
      <c r="H59" s="118">
        <f>F59/H16</f>
        <v>1.5022519050616071E-3</v>
      </c>
      <c r="I59" s="64">
        <f>'Tender - Waste Monitoring'!O203</f>
        <v>1482</v>
      </c>
      <c r="J59" s="45">
        <f>'Tender - Waste Monitoring'!P203</f>
        <v>123.5</v>
      </c>
      <c r="K59" s="118">
        <f>I59/K16</f>
        <v>1.4158744170982599E-3</v>
      </c>
      <c r="L59" s="64">
        <f>'Tender - Waste Monitoring'!O273</f>
        <v>3296.4</v>
      </c>
      <c r="M59" s="45">
        <f>'Tender - Waste Monitoring'!P273</f>
        <v>274.7</v>
      </c>
      <c r="N59" s="118">
        <f>L59/N16</f>
        <v>2.9886047882953745E-3</v>
      </c>
      <c r="O59" s="64">
        <f>'Tender - Waste Monitoring'!O345</f>
        <v>0</v>
      </c>
      <c r="P59" s="45">
        <f>'Tender - Waste Monitoring'!P345</f>
        <v>0</v>
      </c>
      <c r="Q59" s="118">
        <f>O59/Q16</f>
        <v>0</v>
      </c>
      <c r="R59" s="64">
        <f>'Tender - Waste Monitoring'!O417</f>
        <v>1236.5</v>
      </c>
      <c r="S59" s="45">
        <f>'Tender - Waste Monitoring'!P417</f>
        <v>103.04166666666667</v>
      </c>
      <c r="T59" s="118">
        <f>R59/T16</f>
        <v>2.3853125704718561E-3</v>
      </c>
      <c r="U59" s="92">
        <f t="shared" ref="U59:U66" si="2">SUM(C59,F59,I59,L59,O59,R59)</f>
        <v>8582.9</v>
      </c>
      <c r="V59" s="92">
        <f t="shared" ref="V59:V66" si="3">U59/63</f>
        <v>136.23650793650793</v>
      </c>
      <c r="W59" s="155">
        <f>U59/W16</f>
        <v>1.7060936998053902E-3</v>
      </c>
      <c r="X59" s="12"/>
      <c r="Y59" s="12"/>
      <c r="Z59" s="12"/>
      <c r="AA59" s="12"/>
    </row>
    <row r="60" spans="1:27" ht="7.9" customHeight="1">
      <c r="A60" s="343"/>
      <c r="B60" s="47" t="s">
        <v>41</v>
      </c>
      <c r="C60" s="64">
        <f>'Tender - Waste Monitoring'!O60</f>
        <v>0</v>
      </c>
      <c r="D60" s="45">
        <f>'Tender - Waste Monitoring'!P60</f>
        <v>0</v>
      </c>
      <c r="E60" s="118">
        <f>C60/E16</f>
        <v>0</v>
      </c>
      <c r="F60" s="64">
        <f>'Tender - Waste Monitoring'!O133</f>
        <v>3571</v>
      </c>
      <c r="G60" s="45">
        <f>'Tender - Waste Monitoring'!P133</f>
        <v>297.58333333333331</v>
      </c>
      <c r="H60" s="118">
        <f>F60/H16</f>
        <v>3.506236309133986E-3</v>
      </c>
      <c r="I60" s="64">
        <f>'Tender - Waste Monitoring'!O204</f>
        <v>0</v>
      </c>
      <c r="J60" s="45">
        <f>'Tender - Waste Monitoring'!P204</f>
        <v>0</v>
      </c>
      <c r="K60" s="118">
        <f>I60/K16</f>
        <v>0</v>
      </c>
      <c r="L60" s="64">
        <f>'Tender - Waste Monitoring'!O274</f>
        <v>97.5</v>
      </c>
      <c r="M60" s="45">
        <f>'Tender - Waste Monitoring'!P274</f>
        <v>8.125</v>
      </c>
      <c r="N60" s="118">
        <f>L60/N16</f>
        <v>8.8396119056788922E-5</v>
      </c>
      <c r="O60" s="64">
        <f>'Tender - Waste Monitoring'!O346</f>
        <v>0</v>
      </c>
      <c r="P60" s="45">
        <f>'Tender - Waste Monitoring'!P346</f>
        <v>0</v>
      </c>
      <c r="Q60" s="118">
        <f>O60/Q16</f>
        <v>0</v>
      </c>
      <c r="R60" s="64">
        <f>'Tender - Waste Monitoring'!O418</f>
        <v>0</v>
      </c>
      <c r="S60" s="45">
        <f>'Tender - Waste Monitoring'!P418</f>
        <v>0</v>
      </c>
      <c r="T60" s="118">
        <f>R60/T16</f>
        <v>0</v>
      </c>
      <c r="U60" s="92">
        <f t="shared" si="2"/>
        <v>3668.5</v>
      </c>
      <c r="V60" s="92">
        <f t="shared" si="3"/>
        <v>58.230158730158728</v>
      </c>
      <c r="W60" s="155">
        <f>U60/W16</f>
        <v>7.2921794938028803E-4</v>
      </c>
      <c r="X60" s="12"/>
      <c r="Y60" s="12"/>
      <c r="Z60" s="12"/>
      <c r="AA60" s="12"/>
    </row>
    <row r="61" spans="1:27" ht="7.9" customHeight="1">
      <c r="A61" s="343"/>
      <c r="B61" s="47" t="s">
        <v>42</v>
      </c>
      <c r="C61" s="64">
        <f>'Tender - Waste Monitoring'!O61</f>
        <v>3678</v>
      </c>
      <c r="D61" s="45">
        <f>'Tender - Waste Monitoring'!P61</f>
        <v>306.5</v>
      </c>
      <c r="E61" s="118">
        <f>C61/E16</f>
        <v>3.339741011166067E-3</v>
      </c>
      <c r="F61" s="64">
        <f>'Tender - Waste Monitoring'!O134</f>
        <v>5088</v>
      </c>
      <c r="G61" s="45">
        <f>'Tender - Waste Monitoring'!P134</f>
        <v>424</v>
      </c>
      <c r="H61" s="118">
        <f>F61/H16</f>
        <v>4.9957239823225207E-3</v>
      </c>
      <c r="I61" s="64">
        <f>'Tender - Waste Monitoring'!O205</f>
        <v>4539</v>
      </c>
      <c r="J61" s="45">
        <f>'Tender - Waste Monitoring'!P205</f>
        <v>378.25</v>
      </c>
      <c r="K61" s="118">
        <f>I61/K16</f>
        <v>4.3364736701815131E-3</v>
      </c>
      <c r="L61" s="64">
        <f>'Tender - Waste Monitoring'!O275</f>
        <v>4450</v>
      </c>
      <c r="M61" s="45">
        <f>'Tender - Waste Monitoring'!P275</f>
        <v>370.83333333333331</v>
      </c>
      <c r="N61" s="118">
        <f>L61/N16</f>
        <v>4.0344895364380585E-3</v>
      </c>
      <c r="O61" s="64">
        <f>'Tender - Waste Monitoring'!O347</f>
        <v>910</v>
      </c>
      <c r="P61" s="45">
        <f>'Tender - Waste Monitoring'!P347</f>
        <v>75.833333333333329</v>
      </c>
      <c r="Q61" s="118">
        <f>O61/Q16</f>
        <v>3.7463267472085749E-3</v>
      </c>
      <c r="R61" s="64">
        <f>'Tender - Waste Monitoring'!O419</f>
        <v>1560</v>
      </c>
      <c r="S61" s="45">
        <f>'Tender - Waste Monitoring'!P419</f>
        <v>130</v>
      </c>
      <c r="T61" s="118">
        <f>R61/T16</f>
        <v>3.0093712979669188E-3</v>
      </c>
      <c r="U61" s="92">
        <f t="shared" si="2"/>
        <v>20225</v>
      </c>
      <c r="V61" s="92">
        <f t="shared" si="3"/>
        <v>321.03174603174602</v>
      </c>
      <c r="W61" s="155">
        <f>U61/W16</f>
        <v>4.0202897713551384E-3</v>
      </c>
      <c r="X61" s="12"/>
      <c r="Y61" s="12"/>
      <c r="Z61" s="12"/>
      <c r="AA61" s="12"/>
    </row>
    <row r="62" spans="1:27" ht="7.9" customHeight="1">
      <c r="A62" s="343"/>
      <c r="B62" s="47" t="s">
        <v>43</v>
      </c>
      <c r="C62" s="64">
        <f>'Tender - Waste Monitoring'!O62</f>
        <v>45296</v>
      </c>
      <c r="D62" s="45">
        <f>'Tender - Waste Monitoring'!P62</f>
        <v>3774.6666666666665</v>
      </c>
      <c r="E62" s="118">
        <f>C62/E16</f>
        <v>4.1130209038003858E-2</v>
      </c>
      <c r="F62" s="64">
        <f>'Tender - Waste Monitoring'!O135</f>
        <v>55130</v>
      </c>
      <c r="G62" s="45">
        <f>'Tender - Waste Monitoring'!P135</f>
        <v>4594.166666666667</v>
      </c>
      <c r="H62" s="118">
        <f>F62/H16</f>
        <v>5.413016178172967E-2</v>
      </c>
      <c r="I62" s="64">
        <f>'Tender - Waste Monitoring'!O206</f>
        <v>60545</v>
      </c>
      <c r="J62" s="45">
        <f>'Tender - Waste Monitoring'!P206</f>
        <v>5045.416666666667</v>
      </c>
      <c r="K62" s="118">
        <f>I62/K16</f>
        <v>5.7843533456959619E-2</v>
      </c>
      <c r="L62" s="64">
        <f>'Tender - Waste Monitoring'!O276</f>
        <v>68399</v>
      </c>
      <c r="M62" s="45">
        <f>'Tender - Waste Monitoring'!P276</f>
        <v>5699.916666666667</v>
      </c>
      <c r="N62" s="118">
        <f>L62/N16</f>
        <v>6.2012370742208264E-2</v>
      </c>
      <c r="O62" s="64">
        <f>'Tender - Waste Monitoring'!O348</f>
        <v>13404</v>
      </c>
      <c r="P62" s="45">
        <f>'Tender - Waste Monitoring'!P348</f>
        <v>1117</v>
      </c>
      <c r="Q62" s="118">
        <f>O62/Q16</f>
        <v>5.5182157933608499E-2</v>
      </c>
      <c r="R62" s="64">
        <f>'Tender - Waste Monitoring'!O420</f>
        <v>28837</v>
      </c>
      <c r="S62" s="45">
        <f>'Tender - Waste Monitoring'!P420</f>
        <v>2403.0833333333335</v>
      </c>
      <c r="T62" s="118">
        <f>R62/T16</f>
        <v>5.5629000076584639E-2</v>
      </c>
      <c r="U62" s="92">
        <f t="shared" si="2"/>
        <v>271611</v>
      </c>
      <c r="V62" s="92">
        <f t="shared" si="3"/>
        <v>4311.2857142857147</v>
      </c>
      <c r="W62" s="155">
        <f>U62/W16</f>
        <v>5.3990354763290019E-2</v>
      </c>
      <c r="X62" s="12"/>
      <c r="Y62" s="12"/>
      <c r="Z62" s="12"/>
      <c r="AA62" s="12"/>
    </row>
    <row r="63" spans="1:27" ht="7.9" customHeight="1">
      <c r="A63" s="343"/>
      <c r="B63" s="47" t="s">
        <v>44</v>
      </c>
      <c r="C63" s="64">
        <f>'Tender - Waste Monitoring'!O63</f>
        <v>0</v>
      </c>
      <c r="D63" s="45">
        <f>'Tender - Waste Monitoring'!P63</f>
        <v>0</v>
      </c>
      <c r="E63" s="118">
        <f>C63/E16</f>
        <v>0</v>
      </c>
      <c r="F63" s="64">
        <f>'Tender - Waste Monitoring'!O136</f>
        <v>0</v>
      </c>
      <c r="G63" s="45">
        <f>'Tender - Waste Monitoring'!P136</f>
        <v>0</v>
      </c>
      <c r="H63" s="118">
        <f>F63/H16</f>
        <v>0</v>
      </c>
      <c r="I63" s="64">
        <f>'Tender - Waste Monitoring'!O207</f>
        <v>500</v>
      </c>
      <c r="J63" s="45">
        <f>'Tender - Waste Monitoring'!P207</f>
        <v>41.666666666666664</v>
      </c>
      <c r="K63" s="118">
        <f>I63/K16</f>
        <v>4.7769042412221994E-4</v>
      </c>
      <c r="L63" s="64">
        <f>'Tender - Waste Monitoring'!O277</f>
        <v>0</v>
      </c>
      <c r="M63" s="45">
        <f>'Tender - Waste Monitoring'!P277</f>
        <v>0</v>
      </c>
      <c r="N63" s="118">
        <f>L63/N16</f>
        <v>0</v>
      </c>
      <c r="O63" s="64">
        <f>'Tender - Waste Monitoring'!O349</f>
        <v>0</v>
      </c>
      <c r="P63" s="45">
        <f>'Tender - Waste Monitoring'!P349</f>
        <v>0</v>
      </c>
      <c r="Q63" s="118">
        <f>O63/Q16</f>
        <v>0</v>
      </c>
      <c r="R63" s="64">
        <f>'Tender - Waste Monitoring'!O421</f>
        <v>0</v>
      </c>
      <c r="S63" s="45">
        <f>'Tender - Waste Monitoring'!P421</f>
        <v>0</v>
      </c>
      <c r="T63" s="118">
        <f>R63/T16</f>
        <v>0</v>
      </c>
      <c r="U63" s="92">
        <f t="shared" si="2"/>
        <v>500</v>
      </c>
      <c r="V63" s="92">
        <f t="shared" si="3"/>
        <v>7.9365079365079367</v>
      </c>
      <c r="W63" s="155">
        <f>U63/W16</f>
        <v>9.9389116720769802E-5</v>
      </c>
      <c r="X63" s="12"/>
      <c r="Y63" s="12"/>
      <c r="Z63" s="12"/>
      <c r="AA63" s="12"/>
    </row>
    <row r="64" spans="1:27" ht="7.9" customHeight="1">
      <c r="A64" s="343"/>
      <c r="B64" s="47" t="s">
        <v>45</v>
      </c>
      <c r="C64" s="64">
        <f>'Tender - Waste Monitoring'!O64</f>
        <v>47</v>
      </c>
      <c r="D64" s="45">
        <f>'Tender - Waste Monitoring'!P64</f>
        <v>3.9166666666666665</v>
      </c>
      <c r="E64" s="118">
        <f>C64/E16</f>
        <v>4.2677495248723533E-5</v>
      </c>
      <c r="F64" s="64">
        <f>'Tender - Waste Monitoring'!O137</f>
        <v>74</v>
      </c>
      <c r="G64" s="45">
        <f>'Tender - Waste Monitoring'!P137</f>
        <v>6.166666666666667</v>
      </c>
      <c r="H64" s="118">
        <f>F64/H16</f>
        <v>7.2657935277489495E-5</v>
      </c>
      <c r="I64" s="64">
        <f>'Tender - Waste Monitoring'!O208</f>
        <v>0</v>
      </c>
      <c r="J64" s="45">
        <f>'Tender - Waste Monitoring'!P208</f>
        <v>0</v>
      </c>
      <c r="K64" s="118">
        <f>I64/K16</f>
        <v>0</v>
      </c>
      <c r="L64" s="64">
        <f>'Tender - Waste Monitoring'!O278</f>
        <v>0</v>
      </c>
      <c r="M64" s="45">
        <f>'Tender - Waste Monitoring'!P278</f>
        <v>0</v>
      </c>
      <c r="N64" s="118">
        <f>L64/N16</f>
        <v>0</v>
      </c>
      <c r="O64" s="64">
        <f>'Tender - Waste Monitoring'!O350</f>
        <v>0</v>
      </c>
      <c r="P64" s="45">
        <f>'Tender - Waste Monitoring'!P350</f>
        <v>0</v>
      </c>
      <c r="Q64" s="118">
        <f>O64/Q16</f>
        <v>0</v>
      </c>
      <c r="R64" s="64">
        <f>'Tender - Waste Monitoring'!O422</f>
        <v>51</v>
      </c>
      <c r="S64" s="45">
        <f>'Tender - Waste Monitoring'!P422</f>
        <v>4.25</v>
      </c>
      <c r="T64" s="118">
        <f>R64/T16</f>
        <v>9.8383292433533887E-5</v>
      </c>
      <c r="U64" s="92">
        <f t="shared" si="2"/>
        <v>172</v>
      </c>
      <c r="V64" s="92">
        <f t="shared" si="3"/>
        <v>2.7301587301587302</v>
      </c>
      <c r="W64" s="155">
        <f>U64/W16</f>
        <v>3.4189856151944811E-5</v>
      </c>
      <c r="X64" s="12"/>
      <c r="Y64" s="12"/>
      <c r="Z64" s="12"/>
      <c r="AA64" s="12"/>
    </row>
    <row r="65" spans="1:27" ht="7.9" customHeight="1">
      <c r="A65" s="343"/>
      <c r="B65" s="47" t="s">
        <v>46</v>
      </c>
      <c r="C65" s="64">
        <f>'Tender - Waste Monitoring'!O65</f>
        <v>2243</v>
      </c>
      <c r="D65" s="45">
        <f>'Tender - Waste Monitoring'!P65</f>
        <v>186.91666666666666</v>
      </c>
      <c r="E65" s="118">
        <f>C65/E16</f>
        <v>2.0367153583592955E-3</v>
      </c>
      <c r="F65" s="64">
        <f>'Tender - Waste Monitoring'!O138</f>
        <v>57724</v>
      </c>
      <c r="G65" s="45">
        <f>'Tender - Waste Monitoring'!P138</f>
        <v>4810.333333333333</v>
      </c>
      <c r="H65" s="118">
        <f>F65/H16</f>
        <v>5.6677116972402748E-2</v>
      </c>
      <c r="I65" s="64">
        <f>'Tender - Waste Monitoring'!O209</f>
        <v>151876</v>
      </c>
      <c r="J65" s="45">
        <f>'Tender - Waste Monitoring'!P209</f>
        <v>12656.333333333334</v>
      </c>
      <c r="K65" s="118">
        <f>I65/K16</f>
        <v>0.14509942170797255</v>
      </c>
      <c r="L65" s="64">
        <f>'Tender - Waste Monitoring'!O279</f>
        <v>184980</v>
      </c>
      <c r="M65" s="45">
        <f>'Tender - Waste Monitoring'!P279</f>
        <v>15415</v>
      </c>
      <c r="N65" s="118">
        <f>L65/N16</f>
        <v>0.16770783695512631</v>
      </c>
      <c r="O65" s="64">
        <f>'Tender - Waste Monitoring'!O351</f>
        <v>54276</v>
      </c>
      <c r="P65" s="45">
        <f>'Tender - Waste Monitoring'!P351</f>
        <v>4523</v>
      </c>
      <c r="Q65" s="118">
        <f>O65/Q16</f>
        <v>0.22344574783680507</v>
      </c>
      <c r="R65" s="64">
        <f>'Tender - Waste Monitoring'!O423</f>
        <v>173182</v>
      </c>
      <c r="S65" s="45">
        <f>'Tender - Waste Monitoring'!P423</f>
        <v>14431.833333333334</v>
      </c>
      <c r="T65" s="118">
        <f>R65/T16</f>
        <v>0.33408265392596598</v>
      </c>
      <c r="U65" s="92">
        <f t="shared" si="2"/>
        <v>624281</v>
      </c>
      <c r="V65" s="92">
        <f t="shared" si="3"/>
        <v>9909.2222222222226</v>
      </c>
      <c r="W65" s="155">
        <f>U65/W16</f>
        <v>0.1240934743511178</v>
      </c>
      <c r="X65" s="12"/>
      <c r="Y65" s="12"/>
      <c r="Z65" s="12"/>
      <c r="AA65" s="12"/>
    </row>
    <row r="66" spans="1:27" ht="7.9" customHeight="1">
      <c r="A66" s="343" t="s">
        <v>27</v>
      </c>
      <c r="B66" s="344"/>
      <c r="C66" s="67">
        <f>SUM(C59:C65)</f>
        <v>52302</v>
      </c>
      <c r="D66" s="34">
        <f>SUM(D59:D65)</f>
        <v>4358.5</v>
      </c>
      <c r="E66" s="121"/>
      <c r="F66" s="67">
        <f>SUM(F59:F65)</f>
        <v>123117</v>
      </c>
      <c r="G66" s="34">
        <f>SUM(G59:G65)</f>
        <v>10259.75</v>
      </c>
      <c r="H66" s="121"/>
      <c r="I66" s="67">
        <f>SUM(I59:I65)</f>
        <v>218942</v>
      </c>
      <c r="J66" s="34">
        <f>SUM(J59:J65)</f>
        <v>18245.166666666668</v>
      </c>
      <c r="K66" s="121"/>
      <c r="L66" s="67">
        <f>SUM(L59:L65)</f>
        <v>261222.9</v>
      </c>
      <c r="M66" s="34">
        <f>SUM(M59:M65)</f>
        <v>21768.575000000001</v>
      </c>
      <c r="N66" s="121"/>
      <c r="O66" s="67">
        <f>SUM(O59:O65)</f>
        <v>68590</v>
      </c>
      <c r="P66" s="34">
        <f>SUM(P59:P65)</f>
        <v>5715.833333333333</v>
      </c>
      <c r="Q66" s="121"/>
      <c r="R66" s="67">
        <f>SUM(R59:R65)</f>
        <v>204866.5</v>
      </c>
      <c r="S66" s="34">
        <f>SUM(S59:S65)</f>
        <v>17072.208333333336</v>
      </c>
      <c r="T66" s="121"/>
      <c r="U66" s="91">
        <f t="shared" si="2"/>
        <v>929040.4</v>
      </c>
      <c r="V66" s="91">
        <f t="shared" si="3"/>
        <v>14746.673015873017</v>
      </c>
      <c r="W66" s="154"/>
      <c r="X66" s="12"/>
      <c r="Y66" s="12"/>
      <c r="Z66" s="12"/>
      <c r="AA66" s="12"/>
    </row>
    <row r="67" spans="1:27" ht="7.9" customHeight="1">
      <c r="A67" s="39"/>
      <c r="B67" s="49"/>
      <c r="C67" s="68"/>
      <c r="D67" s="35"/>
      <c r="E67" s="122"/>
      <c r="F67" s="72"/>
      <c r="G67" s="35"/>
      <c r="H67" s="122"/>
      <c r="I67" s="68"/>
      <c r="J67" s="35"/>
      <c r="K67" s="122"/>
      <c r="L67" s="68"/>
      <c r="M67" s="35"/>
      <c r="N67" s="122"/>
      <c r="O67" s="68"/>
      <c r="P67" s="35"/>
      <c r="Q67" s="122"/>
      <c r="R67" s="68"/>
      <c r="S67" s="35"/>
      <c r="T67" s="122"/>
      <c r="U67" s="95"/>
      <c r="V67" s="95"/>
      <c r="W67" s="158"/>
      <c r="X67" s="12"/>
      <c r="Y67" s="12"/>
      <c r="Z67" s="12"/>
      <c r="AA67" s="12"/>
    </row>
    <row r="68" spans="1:27" s="16" customFormat="1" ht="7.9" customHeight="1">
      <c r="A68" s="349" t="s">
        <v>47</v>
      </c>
      <c r="B68" s="350"/>
      <c r="C68" s="69">
        <f>C66+C57+C52+C48+C42</f>
        <v>390323</v>
      </c>
      <c r="D68" s="36">
        <f>D66+D57+D52+D48+D42</f>
        <v>32526.916666666668</v>
      </c>
      <c r="E68" s="123"/>
      <c r="F68" s="69">
        <f>F66+F57+F52+F48+F42</f>
        <v>427416</v>
      </c>
      <c r="G68" s="36">
        <f>G66+G57+G52+G48+G42</f>
        <v>35618</v>
      </c>
      <c r="H68" s="123"/>
      <c r="I68" s="69">
        <f>I66+I57+I52+I48+I42</f>
        <v>552793</v>
      </c>
      <c r="J68" s="36">
        <f>J66+J57+J52+J48+J42</f>
        <v>46066.083333333336</v>
      </c>
      <c r="K68" s="123"/>
      <c r="L68" s="69">
        <f>L66+L57+L52+L48+L42</f>
        <v>543550.6</v>
      </c>
      <c r="M68" s="36">
        <f>M66+M57+M52+M48+M42</f>
        <v>45295.883333333339</v>
      </c>
      <c r="N68" s="123"/>
      <c r="O68" s="69">
        <f>O66+O57+O52+O48+O42</f>
        <v>121791.6</v>
      </c>
      <c r="P68" s="36">
        <f>P66+P57+P52+P48+P42</f>
        <v>10149.299999999999</v>
      </c>
      <c r="Q68" s="123"/>
      <c r="R68" s="69">
        <f>R66+R57+R52+R48+R42</f>
        <v>310860.7</v>
      </c>
      <c r="S68" s="36">
        <f>S66+S57+S52+S48+S42</f>
        <v>25905.058333333338</v>
      </c>
      <c r="T68" s="123"/>
      <c r="U68" s="96">
        <f>SUM(C68,F68,I68,L68,O68,R68)</f>
        <v>2346734.9000000004</v>
      </c>
      <c r="V68" s="96">
        <f>U68/63</f>
        <v>37249.760317460321</v>
      </c>
      <c r="W68" s="159"/>
      <c r="X68" s="12"/>
      <c r="Y68" s="12"/>
      <c r="Z68" s="12"/>
      <c r="AA68" s="12"/>
    </row>
    <row r="69" spans="1:27" ht="7.9" customHeight="1">
      <c r="A69" s="341"/>
      <c r="B69" s="342"/>
      <c r="C69" s="68"/>
      <c r="D69" s="35"/>
      <c r="E69" s="122"/>
      <c r="F69" s="68"/>
      <c r="G69" s="35"/>
      <c r="H69" s="122"/>
      <c r="I69" s="68"/>
      <c r="J69" s="35"/>
      <c r="K69" s="122"/>
      <c r="L69" s="68"/>
      <c r="M69" s="35"/>
      <c r="N69" s="122"/>
      <c r="O69" s="68"/>
      <c r="P69" s="35"/>
      <c r="Q69" s="122"/>
      <c r="R69" s="68"/>
      <c r="S69" s="35"/>
      <c r="T69" s="122"/>
      <c r="U69" s="97"/>
      <c r="V69" s="97"/>
      <c r="W69" s="160"/>
      <c r="X69" s="12"/>
      <c r="Y69" s="12"/>
      <c r="Z69" s="12"/>
      <c r="AA69" s="12"/>
    </row>
    <row r="70" spans="1:27" ht="7.9" customHeight="1">
      <c r="A70" s="339" t="s">
        <v>48</v>
      </c>
      <c r="B70" s="340"/>
      <c r="C70" s="67"/>
      <c r="D70" s="34"/>
      <c r="E70" s="121"/>
      <c r="F70" s="67"/>
      <c r="G70" s="34"/>
      <c r="H70" s="121"/>
      <c r="I70" s="67"/>
      <c r="J70" s="34"/>
      <c r="K70" s="121"/>
      <c r="L70" s="67"/>
      <c r="M70" s="34"/>
      <c r="N70" s="121"/>
      <c r="O70" s="67"/>
      <c r="P70" s="34"/>
      <c r="Q70" s="121"/>
      <c r="R70" s="67"/>
      <c r="S70" s="34"/>
      <c r="T70" s="121"/>
      <c r="U70" s="98"/>
      <c r="V70" s="98"/>
      <c r="W70" s="161"/>
      <c r="X70" s="12"/>
      <c r="Y70" s="12"/>
      <c r="Z70" s="12"/>
      <c r="AA70" s="12"/>
    </row>
    <row r="71" spans="1:27" ht="7.9" customHeight="1">
      <c r="A71" s="341"/>
      <c r="B71" s="342"/>
      <c r="C71" s="68"/>
      <c r="D71" s="35"/>
      <c r="E71" s="122"/>
      <c r="F71" s="68"/>
      <c r="G71" s="35"/>
      <c r="H71" s="122"/>
      <c r="I71" s="68"/>
      <c r="J71" s="35"/>
      <c r="K71" s="122"/>
      <c r="L71" s="68"/>
      <c r="M71" s="35"/>
      <c r="N71" s="122"/>
      <c r="O71" s="68"/>
      <c r="P71" s="35"/>
      <c r="Q71" s="122"/>
      <c r="R71" s="68"/>
      <c r="S71" s="35"/>
      <c r="T71" s="122"/>
      <c r="U71" s="97"/>
      <c r="V71" s="97"/>
      <c r="W71" s="160"/>
      <c r="X71" s="12"/>
      <c r="Y71" s="12"/>
      <c r="Z71" s="12"/>
      <c r="AA71" s="12"/>
    </row>
    <row r="72" spans="1:27" ht="7.9" customHeight="1">
      <c r="A72" s="337" t="s">
        <v>6</v>
      </c>
      <c r="B72" s="338"/>
      <c r="C72" s="70">
        <f>C30+C68</f>
        <v>1101283</v>
      </c>
      <c r="D72" s="24">
        <f>D30+D68</f>
        <v>91773.583333333328</v>
      </c>
      <c r="E72" s="109">
        <f>SUM(E19:E71)</f>
        <v>1</v>
      </c>
      <c r="F72" s="70">
        <f>F30+F68</f>
        <v>1018471</v>
      </c>
      <c r="G72" s="24">
        <f>G30+G68</f>
        <v>84872.583333333328</v>
      </c>
      <c r="H72" s="109">
        <f>SUM(H19:H71)</f>
        <v>0.99999999999999989</v>
      </c>
      <c r="I72" s="70">
        <f>I30+I68</f>
        <v>1046703</v>
      </c>
      <c r="J72" s="24">
        <f>J30+J68</f>
        <v>87225.25</v>
      </c>
      <c r="K72" s="109">
        <f>SUM(K19:K71)</f>
        <v>0.99999999999999989</v>
      </c>
      <c r="L72" s="70">
        <f>L30+L68</f>
        <v>1102989.6000000001</v>
      </c>
      <c r="M72" s="24">
        <f>M30+M68</f>
        <v>91915.8</v>
      </c>
      <c r="N72" s="109">
        <f>SUM(N19:N71)</f>
        <v>0.99999999999999978</v>
      </c>
      <c r="O72" s="70">
        <f>O30+O68</f>
        <v>242904.6</v>
      </c>
      <c r="P72" s="24">
        <f>P30+P68</f>
        <v>20242.05</v>
      </c>
      <c r="Q72" s="109">
        <f>SUM(Q19:Q71)</f>
        <v>0.99999999999999978</v>
      </c>
      <c r="R72" s="70">
        <f>R30+R68</f>
        <v>518380.7</v>
      </c>
      <c r="S72" s="24">
        <f>S30+S68</f>
        <v>43198.39166666667</v>
      </c>
      <c r="T72" s="109">
        <f>SUM(T19:T71)</f>
        <v>1</v>
      </c>
      <c r="U72" s="81">
        <f>SUM(C72,F72,I72,L72,O72,R72)</f>
        <v>5030731.8999999994</v>
      </c>
      <c r="V72" s="81">
        <f>U72/63</f>
        <v>79852.887301587296</v>
      </c>
      <c r="W72" s="145">
        <f>SUM(W19:W71)</f>
        <v>1.0000000000000002</v>
      </c>
      <c r="X72" s="12"/>
      <c r="Y72" s="12"/>
      <c r="Z72" s="12"/>
      <c r="AA72" s="12"/>
    </row>
    <row r="73" spans="1:27" ht="7.9" customHeight="1" thickBot="1">
      <c r="A73" s="351"/>
      <c r="B73" s="352"/>
      <c r="C73" s="71"/>
      <c r="D73" s="37"/>
      <c r="E73" s="124"/>
      <c r="F73" s="71"/>
      <c r="G73" s="37"/>
      <c r="H73" s="124"/>
      <c r="I73" s="71"/>
      <c r="J73" s="37"/>
      <c r="K73" s="124"/>
      <c r="L73" s="71"/>
      <c r="M73" s="37"/>
      <c r="N73" s="124"/>
      <c r="O73" s="71"/>
      <c r="P73" s="37"/>
      <c r="Q73" s="124"/>
      <c r="R73" s="71"/>
      <c r="S73" s="37"/>
      <c r="T73" s="124"/>
      <c r="U73" s="99"/>
      <c r="V73" s="99"/>
      <c r="W73" s="143"/>
      <c r="X73" s="12"/>
      <c r="Y73" s="12"/>
      <c r="Z73" s="12"/>
      <c r="AA73" s="12"/>
    </row>
    <row r="76" spans="1:27">
      <c r="V76" s="104"/>
      <c r="W76" s="104"/>
    </row>
  </sheetData>
  <mergeCells count="47">
    <mergeCell ref="A21:B21"/>
    <mergeCell ref="A4:V4"/>
    <mergeCell ref="A6:V6"/>
    <mergeCell ref="A10:B10"/>
    <mergeCell ref="A12:B12"/>
    <mergeCell ref="A13:B13"/>
    <mergeCell ref="A14:B14"/>
    <mergeCell ref="F10:H10"/>
    <mergeCell ref="I10:K10"/>
    <mergeCell ref="L10:N10"/>
    <mergeCell ref="O10:Q10"/>
    <mergeCell ref="A16:B16"/>
    <mergeCell ref="A17:B17"/>
    <mergeCell ref="A18:B18"/>
    <mergeCell ref="A19:B19"/>
    <mergeCell ref="A20:B20"/>
    <mergeCell ref="A33:B33"/>
    <mergeCell ref="A22:B22"/>
    <mergeCell ref="A23:B23"/>
    <mergeCell ref="A24:B24"/>
    <mergeCell ref="A25:B25"/>
    <mergeCell ref="A26:B26"/>
    <mergeCell ref="A27:B27"/>
    <mergeCell ref="A72:B72"/>
    <mergeCell ref="A73:B73"/>
    <mergeCell ref="A54:A56"/>
    <mergeCell ref="A57:B57"/>
    <mergeCell ref="A59:A65"/>
    <mergeCell ref="A66:B66"/>
    <mergeCell ref="A68:B68"/>
    <mergeCell ref="A69:B69"/>
    <mergeCell ref="R10:T10"/>
    <mergeCell ref="A11:B11"/>
    <mergeCell ref="C10:E10"/>
    <mergeCell ref="A70:B70"/>
    <mergeCell ref="A71:B71"/>
    <mergeCell ref="A34:A41"/>
    <mergeCell ref="A42:B42"/>
    <mergeCell ref="A44:A47"/>
    <mergeCell ref="A48:B48"/>
    <mergeCell ref="A50:A51"/>
    <mergeCell ref="A52:B52"/>
    <mergeCell ref="A28:B28"/>
    <mergeCell ref="A29:B29"/>
    <mergeCell ref="A30:B30"/>
    <mergeCell ref="A31:B31"/>
    <mergeCell ref="A32:B32"/>
  </mergeCells>
  <printOptions verticalCentered="1"/>
  <pageMargins left="0.7" right="0.7" top="0.75" bottom="0.75" header="0.3" footer="0.3"/>
  <pageSetup paperSize="9" scale="53" firstPageNumber="0" fitToHeight="0" orientation="landscape" horizontalDpi="300" verticalDpi="300" r:id="rId1"/>
  <headerFooter>
    <oddHeader>&amp;C&amp;"Calibri"&amp;10&amp;K000000Confidential&amp;1#_x000D_&amp;"Calibri"&amp;11&amp;K000000&amp;10&amp;A</oddHeader>
    <oddFooter>&amp;C&amp;10Page &amp;P&amp;R&amp;1#&amp;"Calibri"&amp;10&amp;K000000Confidential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FCF8F-3B41-4ACB-A28E-319094DC4560}">
  <sheetPr>
    <pageSetUpPr fitToPage="1"/>
  </sheetPr>
  <dimension ref="A1:K76"/>
  <sheetViews>
    <sheetView showGridLines="0" view="pageBreakPreview" topLeftCell="A4" zoomScale="110" zoomScaleNormal="70" zoomScaleSheetLayoutView="110" workbookViewId="0">
      <selection activeCell="F34" sqref="F34"/>
    </sheetView>
  </sheetViews>
  <sheetFormatPr defaultColWidth="8.75" defaultRowHeight="8.25"/>
  <cols>
    <col min="1" max="1" width="12.5" style="7" customWidth="1"/>
    <col min="2" max="2" width="20.125" style="7" customWidth="1"/>
    <col min="3" max="3" width="10" style="166" customWidth="1"/>
    <col min="4" max="4" width="12.75" style="9" customWidth="1"/>
    <col min="5" max="6" width="11" style="103" customWidth="1"/>
    <col min="7" max="8" width="12.375" style="103" customWidth="1"/>
    <col min="9" max="18" width="12.625" style="7" customWidth="1"/>
    <col min="19" max="1017" width="10.625" style="7" customWidth="1"/>
    <col min="1018" max="16384" width="8.75" style="7"/>
  </cols>
  <sheetData>
    <row r="1" spans="1:9" ht="7.9" customHeight="1">
      <c r="A1" s="378" t="s">
        <v>0</v>
      </c>
      <c r="B1" s="379"/>
      <c r="C1" s="379"/>
      <c r="D1" s="379"/>
      <c r="E1" s="379"/>
      <c r="F1" s="379"/>
      <c r="G1" s="379"/>
      <c r="H1" s="379"/>
    </row>
    <row r="2" spans="1:9" ht="7.9" customHeight="1">
      <c r="A2" s="380"/>
      <c r="B2" s="381"/>
      <c r="C2" s="381"/>
      <c r="D2" s="381"/>
      <c r="E2" s="381"/>
      <c r="F2" s="381"/>
      <c r="G2" s="381"/>
      <c r="H2" s="381"/>
    </row>
    <row r="3" spans="1:9" ht="7.9" customHeight="1">
      <c r="A3" s="380"/>
      <c r="B3" s="381"/>
      <c r="C3" s="381"/>
      <c r="D3" s="381"/>
      <c r="E3" s="381"/>
      <c r="F3" s="381"/>
      <c r="G3" s="381"/>
      <c r="H3" s="381"/>
    </row>
    <row r="4" spans="1:9" ht="7.9" customHeight="1">
      <c r="A4" s="380"/>
      <c r="B4" s="381"/>
      <c r="C4" s="381"/>
      <c r="D4" s="381"/>
      <c r="E4" s="381"/>
      <c r="F4" s="381"/>
      <c r="G4" s="381"/>
      <c r="H4" s="381"/>
    </row>
    <row r="5" spans="1:9" ht="7.9" customHeight="1">
      <c r="A5" s="380"/>
      <c r="B5" s="381"/>
      <c r="C5" s="381"/>
      <c r="D5" s="381"/>
      <c r="E5" s="381"/>
      <c r="F5" s="381"/>
      <c r="G5" s="381"/>
      <c r="H5" s="381"/>
    </row>
    <row r="6" spans="1:9" ht="7.9" customHeight="1">
      <c r="A6" s="380"/>
      <c r="B6" s="381"/>
      <c r="C6" s="381"/>
      <c r="D6" s="381"/>
      <c r="E6" s="381"/>
      <c r="F6" s="381"/>
      <c r="G6" s="381"/>
      <c r="H6" s="381"/>
    </row>
    <row r="7" spans="1:9" ht="7.9" customHeight="1">
      <c r="A7" s="380"/>
      <c r="B7" s="381"/>
      <c r="C7" s="381"/>
      <c r="D7" s="381"/>
      <c r="E7" s="381"/>
      <c r="F7" s="381"/>
      <c r="G7" s="381"/>
      <c r="H7" s="381"/>
    </row>
    <row r="8" spans="1:9" ht="7.9" customHeight="1">
      <c r="A8" s="380"/>
      <c r="B8" s="381"/>
      <c r="C8" s="381"/>
      <c r="D8" s="381"/>
      <c r="E8" s="381"/>
      <c r="F8" s="381"/>
      <c r="G8" s="381"/>
      <c r="H8" s="381"/>
    </row>
    <row r="9" spans="1:9" s="9" customFormat="1" ht="7.9" customHeight="1" thickBot="1">
      <c r="A9" s="382"/>
      <c r="B9" s="383"/>
      <c r="C9" s="383"/>
      <c r="D9" s="383"/>
      <c r="E9" s="383"/>
      <c r="F9" s="383"/>
      <c r="G9" s="383"/>
      <c r="H9" s="383"/>
    </row>
    <row r="10" spans="1:9" ht="7.9" customHeight="1">
      <c r="A10" s="362"/>
      <c r="B10" s="363"/>
      <c r="C10" s="162"/>
      <c r="D10" s="76" t="s">
        <v>60</v>
      </c>
      <c r="E10" s="168" t="s">
        <v>61</v>
      </c>
      <c r="F10" s="384" t="s">
        <v>62</v>
      </c>
      <c r="G10" s="385"/>
      <c r="H10" s="386"/>
      <c r="I10" s="7" t="s">
        <v>63</v>
      </c>
    </row>
    <row r="11" spans="1:9" s="9" customFormat="1" ht="15.6" customHeight="1">
      <c r="A11" s="337"/>
      <c r="B11" s="338"/>
      <c r="C11" s="163" t="s">
        <v>58</v>
      </c>
      <c r="D11" s="77" t="s">
        <v>64</v>
      </c>
      <c r="E11" s="169" t="s">
        <v>65</v>
      </c>
      <c r="F11" s="200" t="s">
        <v>66</v>
      </c>
      <c r="G11" s="200" t="s">
        <v>67</v>
      </c>
      <c r="H11" s="200" t="s">
        <v>68</v>
      </c>
    </row>
    <row r="12" spans="1:9" ht="7.9" customHeight="1">
      <c r="A12" s="364"/>
      <c r="B12" s="365"/>
      <c r="C12" s="164"/>
      <c r="D12" s="78"/>
      <c r="E12" s="170"/>
      <c r="F12" s="224"/>
      <c r="G12" s="225"/>
      <c r="H12" s="225"/>
    </row>
    <row r="13" spans="1:9" ht="7.9" customHeight="1">
      <c r="A13" s="366" t="s">
        <v>4</v>
      </c>
      <c r="B13" s="367"/>
      <c r="C13" s="165"/>
      <c r="D13" s="79">
        <f>D68/D72</f>
        <v>0.46647981777760805</v>
      </c>
      <c r="E13" s="171"/>
      <c r="F13" s="201"/>
      <c r="G13" s="209"/>
      <c r="H13" s="209"/>
    </row>
    <row r="14" spans="1:9" ht="7.9" customHeight="1">
      <c r="A14" s="366" t="s">
        <v>5</v>
      </c>
      <c r="B14" s="367"/>
      <c r="C14" s="165"/>
      <c r="D14" s="79">
        <f>D30/D16</f>
        <v>0.53352018222239206</v>
      </c>
      <c r="E14" s="171"/>
      <c r="F14" s="201"/>
      <c r="G14" s="209"/>
      <c r="H14" s="209"/>
    </row>
    <row r="15" spans="1:9" ht="7.9" customHeight="1">
      <c r="A15" s="38"/>
      <c r="B15" s="46"/>
      <c r="C15" s="125"/>
      <c r="D15" s="80"/>
      <c r="E15" s="172"/>
      <c r="F15" s="226"/>
      <c r="G15" s="227"/>
      <c r="H15" s="227"/>
    </row>
    <row r="16" spans="1:9" s="12" customFormat="1" ht="7.9" customHeight="1">
      <c r="A16" s="368" t="s">
        <v>6</v>
      </c>
      <c r="B16" s="369"/>
      <c r="C16" s="81">
        <f>'Waste Monitoring - % Splits'!W16</f>
        <v>5030731.8999999994</v>
      </c>
      <c r="D16" s="100">
        <v>3745</v>
      </c>
      <c r="E16" s="167">
        <f>D16/60</f>
        <v>62.416666666666664</v>
      </c>
      <c r="F16" s="228"/>
      <c r="G16" s="229"/>
      <c r="H16" s="229"/>
    </row>
    <row r="17" spans="1:8" ht="7.9" customHeight="1">
      <c r="A17" s="341"/>
      <c r="B17" s="342"/>
      <c r="C17" s="125"/>
      <c r="D17" s="80"/>
      <c r="E17" s="172"/>
      <c r="F17" s="226"/>
      <c r="G17" s="227"/>
      <c r="H17" s="227"/>
    </row>
    <row r="18" spans="1:8" ht="7.9" customHeight="1">
      <c r="A18" s="370" t="s">
        <v>7</v>
      </c>
      <c r="B18" s="371"/>
      <c r="C18" s="126"/>
      <c r="D18" s="81"/>
      <c r="E18" s="167"/>
      <c r="F18" s="228"/>
      <c r="G18" s="229"/>
      <c r="H18" s="229"/>
    </row>
    <row r="19" spans="1:8" s="27" customFormat="1" ht="7.9" customHeight="1">
      <c r="A19" s="372"/>
      <c r="B19" s="373"/>
      <c r="C19" s="127"/>
      <c r="D19" s="82"/>
      <c r="E19" s="173"/>
      <c r="F19" s="230"/>
      <c r="G19" s="231"/>
      <c r="H19" s="231"/>
    </row>
    <row r="20" spans="1:8" ht="7.9" customHeight="1">
      <c r="A20" s="374" t="s">
        <v>8</v>
      </c>
      <c r="B20" s="375"/>
      <c r="C20" s="128"/>
      <c r="D20" s="83"/>
      <c r="E20" s="174"/>
      <c r="F20" s="202"/>
      <c r="G20" s="210"/>
      <c r="H20" s="210"/>
    </row>
    <row r="21" spans="1:8" s="27" customFormat="1" ht="7.9" customHeight="1">
      <c r="A21" s="345" t="s">
        <v>9</v>
      </c>
      <c r="B21" s="346"/>
      <c r="C21" s="129">
        <f>'Waste Monitoring - % Splits'!W21</f>
        <v>0.47150475261860014</v>
      </c>
      <c r="D21" s="84">
        <f>C21*D16</f>
        <v>1765.7852985566576</v>
      </c>
      <c r="E21" s="175">
        <f>D21/60</f>
        <v>29.429754975944295</v>
      </c>
      <c r="F21" s="207"/>
      <c r="G21" s="215"/>
      <c r="H21" s="215"/>
    </row>
    <row r="22" spans="1:8" s="29" customFormat="1" ht="7.9" customHeight="1">
      <c r="A22" s="355"/>
      <c r="B22" s="356"/>
      <c r="C22" s="130"/>
      <c r="D22" s="85"/>
      <c r="E22" s="176"/>
      <c r="F22" s="207"/>
      <c r="G22" s="215"/>
      <c r="H22" s="215"/>
    </row>
    <row r="23" spans="1:8" s="27" customFormat="1" ht="7.9" customHeight="1">
      <c r="A23" s="357" t="s">
        <v>10</v>
      </c>
      <c r="B23" s="358"/>
      <c r="C23" s="131"/>
      <c r="D23" s="86"/>
      <c r="E23" s="177"/>
      <c r="F23" s="228"/>
      <c r="G23" s="229"/>
      <c r="H23" s="229"/>
    </row>
    <row r="24" spans="1:8" s="27" customFormat="1" ht="7.9" customHeight="1">
      <c r="A24" s="345" t="s">
        <v>11</v>
      </c>
      <c r="B24" s="346"/>
      <c r="C24" s="190">
        <f>'Waste Monitoring - % Splits'!W24</f>
        <v>5.8810329367780467E-2</v>
      </c>
      <c r="D24" s="191">
        <f>C24*D16</f>
        <v>220.24468348233785</v>
      </c>
      <c r="E24" s="192">
        <f>D24/60</f>
        <v>3.6707447247056306</v>
      </c>
      <c r="F24" s="230"/>
      <c r="G24" s="231"/>
      <c r="H24" s="231"/>
    </row>
    <row r="25" spans="1:8" s="27" customFormat="1" ht="7.9" customHeight="1">
      <c r="A25" s="345" t="s">
        <v>12</v>
      </c>
      <c r="B25" s="346"/>
      <c r="C25" s="190">
        <f>'Waste Monitoring - % Splits'!W25</f>
        <v>1.4411421924511621E-4</v>
      </c>
      <c r="D25" s="191">
        <f>C25*D16</f>
        <v>0.53970775107296021</v>
      </c>
      <c r="E25" s="192">
        <f>D25/60</f>
        <v>8.9951291845493369E-3</v>
      </c>
      <c r="F25" s="230"/>
      <c r="G25" s="231"/>
      <c r="H25" s="231"/>
    </row>
    <row r="26" spans="1:8" s="27" customFormat="1" ht="7.9" customHeight="1">
      <c r="A26" s="345" t="s">
        <v>13</v>
      </c>
      <c r="B26" s="346"/>
      <c r="C26" s="190">
        <f>'Waste Monitoring - % Splits'!W26</f>
        <v>7.8716180442849689E-4</v>
      </c>
      <c r="D26" s="191">
        <f>C26*D16</f>
        <v>2.9479209575847207</v>
      </c>
      <c r="E26" s="192">
        <f>D26/60</f>
        <v>4.9132015959745347E-2</v>
      </c>
      <c r="F26" s="230"/>
      <c r="G26" s="231"/>
      <c r="H26" s="231"/>
    </row>
    <row r="27" spans="1:8" s="27" customFormat="1" ht="7.9" customHeight="1">
      <c r="A27" s="345" t="s">
        <v>14</v>
      </c>
      <c r="B27" s="346"/>
      <c r="C27" s="190">
        <f>'Waste Monitoring - % Splits'!W27</f>
        <v>2.2738242123377717E-3</v>
      </c>
      <c r="D27" s="191">
        <f>C27*D16</f>
        <v>8.5154716752049548</v>
      </c>
      <c r="E27" s="192">
        <f>D27/60</f>
        <v>0.14192452792008259</v>
      </c>
      <c r="F27" s="230"/>
      <c r="G27" s="231"/>
      <c r="H27" s="231"/>
    </row>
    <row r="28" spans="1:8" s="27" customFormat="1" ht="7.9" customHeight="1">
      <c r="A28" s="345" t="s">
        <v>15</v>
      </c>
      <c r="B28" s="346"/>
      <c r="C28" s="132"/>
      <c r="D28" s="87">
        <f>SUM(D24:D27)</f>
        <v>232.24778386620051</v>
      </c>
      <c r="E28" s="178">
        <f>SUM(E24:E27)</f>
        <v>3.8707963977700079</v>
      </c>
      <c r="F28" s="207"/>
      <c r="G28" s="215"/>
      <c r="H28" s="215"/>
    </row>
    <row r="29" spans="1:8" ht="7.9" customHeight="1">
      <c r="A29" s="341"/>
      <c r="B29" s="342"/>
      <c r="C29" s="133"/>
      <c r="D29" s="88"/>
      <c r="E29" s="179"/>
      <c r="F29" s="230"/>
      <c r="G29" s="231"/>
      <c r="H29" s="231"/>
    </row>
    <row r="30" spans="1:8" ht="7.9" customHeight="1">
      <c r="A30" s="347" t="s">
        <v>16</v>
      </c>
      <c r="B30" s="348"/>
      <c r="C30" s="134">
        <f>'Waste Monitoring - % Splits'!W30</f>
        <v>0</v>
      </c>
      <c r="D30" s="89">
        <f>SUM(D21,D28)</f>
        <v>1998.0330824228581</v>
      </c>
      <c r="E30" s="180">
        <f>SUM(E21,E28)</f>
        <v>33.300551373714306</v>
      </c>
      <c r="F30" s="206"/>
      <c r="G30" s="214"/>
      <c r="H30" s="214"/>
    </row>
    <row r="31" spans="1:8" ht="7.9" customHeight="1">
      <c r="A31" s="341"/>
      <c r="B31" s="342"/>
      <c r="C31" s="133"/>
      <c r="D31" s="88"/>
      <c r="E31" s="179"/>
      <c r="F31" s="230"/>
      <c r="G31" s="231"/>
      <c r="H31" s="231"/>
    </row>
    <row r="32" spans="1:8" ht="7.9" customHeight="1">
      <c r="A32" s="349" t="s">
        <v>17</v>
      </c>
      <c r="B32" s="350"/>
      <c r="C32" s="126"/>
      <c r="D32" s="90"/>
      <c r="E32" s="167"/>
      <c r="F32" s="228"/>
      <c r="G32" s="229"/>
      <c r="H32" s="229"/>
    </row>
    <row r="33" spans="1:11" ht="7.9" customHeight="1">
      <c r="A33" s="353"/>
      <c r="B33" s="354"/>
      <c r="C33" s="133"/>
      <c r="D33" s="88"/>
      <c r="E33" s="179"/>
      <c r="F33" s="230"/>
      <c r="G33" s="231"/>
      <c r="H33" s="231"/>
    </row>
    <row r="34" spans="1:11" ht="7.9" customHeight="1">
      <c r="A34" s="343" t="s">
        <v>18</v>
      </c>
      <c r="B34" s="47" t="s">
        <v>19</v>
      </c>
      <c r="C34" s="135">
        <f>'Waste Monitoring - % Splits'!W34</f>
        <v>2.0286710170343208E-2</v>
      </c>
      <c r="D34" s="197">
        <f>C34*D16</f>
        <v>75.97372958793531</v>
      </c>
      <c r="E34" s="198">
        <f t="shared" ref="E34:E41" si="0">D34/60</f>
        <v>1.2662288264655885</v>
      </c>
      <c r="F34" s="202"/>
      <c r="G34" s="210">
        <f t="shared" ref="G34:G41" si="1">E34*F34</f>
        <v>0</v>
      </c>
      <c r="H34" s="210">
        <f t="shared" ref="H34:H41" si="2">G34*60</f>
        <v>0</v>
      </c>
      <c r="I34" s="12"/>
      <c r="J34" s="12"/>
      <c r="K34" s="12"/>
    </row>
    <row r="35" spans="1:11" ht="7.9" customHeight="1">
      <c r="A35" s="343"/>
      <c r="B35" s="47" t="s">
        <v>20</v>
      </c>
      <c r="C35" s="135">
        <f>'Waste Monitoring - % Splits'!W35</f>
        <v>0</v>
      </c>
      <c r="D35" s="193">
        <f>C35*D16</f>
        <v>0</v>
      </c>
      <c r="E35" s="198">
        <f t="shared" si="0"/>
        <v>0</v>
      </c>
      <c r="F35" s="202"/>
      <c r="G35" s="210">
        <f t="shared" si="1"/>
        <v>0</v>
      </c>
      <c r="H35" s="210">
        <f t="shared" si="2"/>
        <v>0</v>
      </c>
      <c r="I35" s="12"/>
      <c r="J35" s="12"/>
      <c r="K35" s="12"/>
    </row>
    <row r="36" spans="1:11" ht="7.9" customHeight="1">
      <c r="A36" s="343"/>
      <c r="B36" s="47" t="s">
        <v>21</v>
      </c>
      <c r="C36" s="136">
        <f>'Waste Monitoring - % Splits'!W36</f>
        <v>3.9129495252967069E-3</v>
      </c>
      <c r="D36" s="195">
        <f>C36*D16</f>
        <v>14.653995972236167</v>
      </c>
      <c r="E36" s="199">
        <f t="shared" si="0"/>
        <v>0.24423326620393612</v>
      </c>
      <c r="F36" s="203"/>
      <c r="G36" s="211">
        <f t="shared" si="1"/>
        <v>0</v>
      </c>
      <c r="H36" s="211">
        <f t="shared" si="2"/>
        <v>0</v>
      </c>
      <c r="I36" s="12"/>
      <c r="J36" s="12"/>
      <c r="K36" s="12"/>
    </row>
    <row r="37" spans="1:11" ht="7.9" customHeight="1">
      <c r="A37" s="343"/>
      <c r="B37" s="47" t="s">
        <v>22</v>
      </c>
      <c r="C37" s="136">
        <f>'Waste Monitoring - % Splits'!W37</f>
        <v>1.7339822859572383E-2</v>
      </c>
      <c r="D37" s="195">
        <f>C37*D16</f>
        <v>64.937636609098575</v>
      </c>
      <c r="E37" s="199">
        <f t="shared" si="0"/>
        <v>1.0822939434849763</v>
      </c>
      <c r="F37" s="203"/>
      <c r="G37" s="211">
        <f t="shared" si="1"/>
        <v>0</v>
      </c>
      <c r="H37" s="211">
        <f t="shared" si="2"/>
        <v>0</v>
      </c>
      <c r="I37" s="12"/>
      <c r="J37" s="12"/>
      <c r="K37" s="12"/>
    </row>
    <row r="38" spans="1:11" ht="7.9" customHeight="1">
      <c r="A38" s="343"/>
      <c r="B38" s="47" t="s">
        <v>23</v>
      </c>
      <c r="C38" s="136">
        <f>'Waste Monitoring - % Splits'!W38</f>
        <v>7.1059242890681579E-3</v>
      </c>
      <c r="D38" s="195">
        <f>C38*D16</f>
        <v>26.61168646256025</v>
      </c>
      <c r="E38" s="199">
        <f t="shared" si="0"/>
        <v>0.44352810770933748</v>
      </c>
      <c r="F38" s="203"/>
      <c r="G38" s="211">
        <f t="shared" si="1"/>
        <v>0</v>
      </c>
      <c r="H38" s="211">
        <f t="shared" si="2"/>
        <v>0</v>
      </c>
      <c r="I38" s="12"/>
      <c r="J38" s="12"/>
      <c r="K38" s="12"/>
    </row>
    <row r="39" spans="1:11" ht="7.9" customHeight="1">
      <c r="A39" s="343"/>
      <c r="B39" s="47" t="s">
        <v>24</v>
      </c>
      <c r="C39" s="136">
        <f>'Waste Monitoring - % Splits'!W39</f>
        <v>8.1240664007557241E-4</v>
      </c>
      <c r="D39" s="195">
        <f>C39*D16</f>
        <v>3.0424628670830187</v>
      </c>
      <c r="E39" s="199">
        <f t="shared" si="0"/>
        <v>5.0707714451383647E-2</v>
      </c>
      <c r="F39" s="203"/>
      <c r="G39" s="211">
        <f t="shared" si="1"/>
        <v>0</v>
      </c>
      <c r="H39" s="211">
        <f t="shared" si="2"/>
        <v>0</v>
      </c>
      <c r="I39" s="12"/>
      <c r="J39" s="12"/>
      <c r="K39" s="12"/>
    </row>
    <row r="40" spans="1:11" ht="7.9" customHeight="1">
      <c r="A40" s="343"/>
      <c r="B40" s="47" t="s">
        <v>25</v>
      </c>
      <c r="C40" s="136">
        <f>'Waste Monitoring - % Splits'!W40</f>
        <v>5.6492773944085556E-4</v>
      </c>
      <c r="D40" s="195">
        <f>C40*D16</f>
        <v>2.115654384206004</v>
      </c>
      <c r="E40" s="199">
        <f t="shared" si="0"/>
        <v>3.5260906403433399E-2</v>
      </c>
      <c r="F40" s="203"/>
      <c r="G40" s="211">
        <f t="shared" si="1"/>
        <v>0</v>
      </c>
      <c r="H40" s="211">
        <f t="shared" si="2"/>
        <v>0</v>
      </c>
      <c r="I40" s="12"/>
      <c r="J40" s="12"/>
      <c r="K40" s="12"/>
    </row>
    <row r="41" spans="1:11" ht="7.9" customHeight="1">
      <c r="A41" s="343"/>
      <c r="B41" s="47" t="s">
        <v>26</v>
      </c>
      <c r="C41" s="136">
        <f>'Waste Monitoring - % Splits'!W41</f>
        <v>3.8240956549483391E-3</v>
      </c>
      <c r="D41" s="195">
        <f>C41*D16</f>
        <v>14.32123822778153</v>
      </c>
      <c r="E41" s="199">
        <f t="shared" si="0"/>
        <v>0.23868730379635883</v>
      </c>
      <c r="F41" s="203"/>
      <c r="G41" s="211">
        <f t="shared" si="1"/>
        <v>0</v>
      </c>
      <c r="H41" s="211">
        <f t="shared" si="2"/>
        <v>0</v>
      </c>
      <c r="I41" s="12"/>
      <c r="J41" s="12"/>
      <c r="K41" s="12"/>
    </row>
    <row r="42" spans="1:11" ht="7.9" customHeight="1">
      <c r="A42" s="343" t="s">
        <v>27</v>
      </c>
      <c r="B42" s="344"/>
      <c r="C42" s="136"/>
      <c r="D42" s="92">
        <f>SUM(D34:D41)</f>
        <v>201.65640411090087</v>
      </c>
      <c r="E42" s="182">
        <f>SUM(E34:E41)</f>
        <v>3.3609400685150144</v>
      </c>
      <c r="F42" s="204"/>
      <c r="G42" s="212"/>
      <c r="H42" s="212"/>
      <c r="I42" s="12"/>
      <c r="J42" s="12"/>
      <c r="K42" s="12"/>
    </row>
    <row r="43" spans="1:11" ht="7.9" customHeight="1">
      <c r="A43" s="17"/>
      <c r="B43" s="48"/>
      <c r="C43" s="137"/>
      <c r="D43" s="93"/>
      <c r="E43" s="183"/>
      <c r="F43" s="205"/>
      <c r="G43" s="213"/>
      <c r="H43" s="213"/>
      <c r="I43" s="12"/>
      <c r="J43" s="12"/>
      <c r="K43" s="12"/>
    </row>
    <row r="44" spans="1:11" ht="7.9" customHeight="1">
      <c r="A44" s="343" t="s">
        <v>28</v>
      </c>
      <c r="B44" s="47" t="s">
        <v>29</v>
      </c>
      <c r="C44" s="136">
        <f>'Waste Monitoring - % Splits'!W44</f>
        <v>5.8584318516357439E-2</v>
      </c>
      <c r="D44" s="195">
        <f>C44*D16</f>
        <v>219.3982728437586</v>
      </c>
      <c r="E44" s="199">
        <f>D44/60</f>
        <v>3.6566378807293103</v>
      </c>
      <c r="F44" s="203"/>
      <c r="G44" s="211">
        <f>E44*F44</f>
        <v>0</v>
      </c>
      <c r="H44" s="211">
        <f>G44*60</f>
        <v>0</v>
      </c>
      <c r="I44" s="12"/>
      <c r="J44" s="12"/>
      <c r="K44" s="12"/>
    </row>
    <row r="45" spans="1:11" ht="7.9" customHeight="1">
      <c r="A45" s="343"/>
      <c r="B45" s="47" t="s">
        <v>30</v>
      </c>
      <c r="C45" s="136">
        <f>'Waste Monitoring - % Splits'!W45</f>
        <v>8.162311332869876E-2</v>
      </c>
      <c r="D45" s="195">
        <f>C45*D16</f>
        <v>305.67855941597685</v>
      </c>
      <c r="E45" s="199">
        <f>D45/60</f>
        <v>5.0946426569329475</v>
      </c>
      <c r="F45" s="203"/>
      <c r="G45" s="211">
        <f>E45*F45</f>
        <v>0</v>
      </c>
      <c r="H45" s="211">
        <f>G45*60</f>
        <v>0</v>
      </c>
      <c r="I45" s="12"/>
      <c r="J45" s="12"/>
      <c r="K45" s="12"/>
    </row>
    <row r="46" spans="1:11" ht="7.9" customHeight="1">
      <c r="A46" s="343"/>
      <c r="B46" s="47" t="s">
        <v>31</v>
      </c>
      <c r="C46" s="136">
        <f>'Waste Monitoring - % Splits'!W46</f>
        <v>6.3243083973526806E-2</v>
      </c>
      <c r="D46" s="195">
        <f>C46*D16</f>
        <v>236.84534948085789</v>
      </c>
      <c r="E46" s="199">
        <f>D46/60</f>
        <v>3.9474224913476315</v>
      </c>
      <c r="F46" s="203"/>
      <c r="G46" s="211">
        <f>E46*F46</f>
        <v>0</v>
      </c>
      <c r="H46" s="211">
        <f>G46*60</f>
        <v>0</v>
      </c>
      <c r="I46" s="12"/>
      <c r="J46" s="12"/>
      <c r="K46" s="12"/>
    </row>
    <row r="47" spans="1:11" ht="7.9" customHeight="1">
      <c r="A47" s="343"/>
      <c r="B47" s="47" t="s">
        <v>32</v>
      </c>
      <c r="C47" s="136">
        <f>'Waste Monitoring - % Splits'!W47</f>
        <v>1.0923659040546367E-2</v>
      </c>
      <c r="D47" s="195">
        <f>C47*D16</f>
        <v>40.909103106846146</v>
      </c>
      <c r="E47" s="199">
        <f>D47/60</f>
        <v>0.68181838511410242</v>
      </c>
      <c r="F47" s="203"/>
      <c r="G47" s="211">
        <f>E47*F47</f>
        <v>0</v>
      </c>
      <c r="H47" s="211">
        <f>G47*60</f>
        <v>0</v>
      </c>
      <c r="I47" s="12"/>
      <c r="J47" s="12"/>
      <c r="K47" s="12"/>
    </row>
    <row r="48" spans="1:11" ht="7.9" customHeight="1">
      <c r="A48" s="343" t="s">
        <v>27</v>
      </c>
      <c r="B48" s="344"/>
      <c r="C48" s="136"/>
      <c r="D48" s="92">
        <f>SUM(D44:D47)</f>
        <v>802.83128484743952</v>
      </c>
      <c r="E48" s="182">
        <f>SUM(E44:E47)</f>
        <v>13.38052141412399</v>
      </c>
      <c r="F48" s="204"/>
      <c r="G48" s="212"/>
      <c r="H48" s="212"/>
      <c r="I48" s="12"/>
      <c r="J48" s="12"/>
      <c r="K48" s="12"/>
    </row>
    <row r="49" spans="1:11" ht="7.9" customHeight="1">
      <c r="A49" s="17"/>
      <c r="B49" s="48"/>
      <c r="C49" s="137"/>
      <c r="D49" s="93"/>
      <c r="E49" s="183"/>
      <c r="F49" s="205"/>
      <c r="G49" s="213"/>
      <c r="H49" s="213"/>
      <c r="I49" s="12"/>
      <c r="J49" s="12"/>
      <c r="K49" s="12"/>
    </row>
    <row r="50" spans="1:11" ht="7.9" customHeight="1">
      <c r="A50" s="343" t="s">
        <v>33</v>
      </c>
      <c r="B50" s="47" t="s">
        <v>34</v>
      </c>
      <c r="C50" s="135">
        <f>'Waste Monitoring - % Splits'!W50</f>
        <v>0</v>
      </c>
      <c r="D50" s="193">
        <f>C50*D16</f>
        <v>0</v>
      </c>
      <c r="E50" s="194">
        <f>D50/60</f>
        <v>0</v>
      </c>
      <c r="F50" s="202"/>
      <c r="G50" s="210">
        <f>E50*F50</f>
        <v>0</v>
      </c>
      <c r="H50" s="210">
        <f>G50*60</f>
        <v>0</v>
      </c>
      <c r="I50" s="12"/>
      <c r="J50" s="12"/>
      <c r="K50" s="12"/>
    </row>
    <row r="51" spans="1:11" ht="7.9" customHeight="1">
      <c r="A51" s="343"/>
      <c r="B51" s="47" t="s">
        <v>35</v>
      </c>
      <c r="C51" s="135">
        <f>'Waste Monitoring - % Splits'!W51</f>
        <v>0</v>
      </c>
      <c r="D51" s="193">
        <f>C51*D16</f>
        <v>0</v>
      </c>
      <c r="E51" s="194">
        <f>D51/60</f>
        <v>0</v>
      </c>
      <c r="F51" s="202"/>
      <c r="G51" s="210">
        <f>E51*F51</f>
        <v>0</v>
      </c>
      <c r="H51" s="210">
        <f>G51*60</f>
        <v>0</v>
      </c>
      <c r="I51" s="12"/>
      <c r="J51" s="12"/>
      <c r="K51" s="12"/>
    </row>
    <row r="52" spans="1:11" ht="7.9" customHeight="1">
      <c r="A52" s="343" t="s">
        <v>27</v>
      </c>
      <c r="B52" s="344"/>
      <c r="C52" s="135"/>
      <c r="D52" s="91">
        <f>SUM(D50:D51)</f>
        <v>0</v>
      </c>
      <c r="E52" s="181">
        <f>SUM(E50:E51)</f>
        <v>0</v>
      </c>
      <c r="F52" s="206"/>
      <c r="G52" s="214"/>
      <c r="H52" s="214"/>
      <c r="I52" s="12"/>
      <c r="J52" s="12"/>
      <c r="K52" s="12"/>
    </row>
    <row r="53" spans="1:11" ht="7.9" customHeight="1">
      <c r="A53" s="17"/>
      <c r="B53" s="48"/>
      <c r="C53" s="138"/>
      <c r="D53" s="94"/>
      <c r="E53" s="184"/>
      <c r="F53" s="207"/>
      <c r="G53" s="215"/>
      <c r="H53" s="215"/>
      <c r="I53" s="12"/>
      <c r="J53" s="12"/>
      <c r="K53" s="12"/>
    </row>
    <row r="54" spans="1:11" ht="7.9" customHeight="1">
      <c r="A54" s="343" t="s">
        <v>36</v>
      </c>
      <c r="B54" s="47" t="s">
        <v>37</v>
      </c>
      <c r="C54" s="135">
        <f>'Waste Monitoring - % Splits'!W54</f>
        <v>1.2743672545937105E-3</v>
      </c>
      <c r="D54" s="193">
        <f>C54*D16</f>
        <v>4.7725053684534453</v>
      </c>
      <c r="E54" s="194">
        <f>D54/60</f>
        <v>7.9541756140890749E-2</v>
      </c>
      <c r="F54" s="202"/>
      <c r="G54" s="210">
        <f>E54*F54</f>
        <v>0</v>
      </c>
      <c r="H54" s="210">
        <f>G54*60</f>
        <v>0</v>
      </c>
      <c r="I54" s="12"/>
      <c r="J54" s="12"/>
      <c r="K54" s="12"/>
    </row>
    <row r="55" spans="1:11" ht="7.9" customHeight="1">
      <c r="A55" s="343"/>
      <c r="B55" s="47" t="s">
        <v>38</v>
      </c>
      <c r="C55" s="135">
        <f>'Waste Monitoring - % Splits'!W55</f>
        <v>1.173755651737275E-2</v>
      </c>
      <c r="D55" s="193">
        <f>C55*D16</f>
        <v>43.957149157560949</v>
      </c>
      <c r="E55" s="194">
        <f>D55/60</f>
        <v>0.73261915262601585</v>
      </c>
      <c r="F55" s="202"/>
      <c r="G55" s="210">
        <f>E55*F55</f>
        <v>0</v>
      </c>
      <c r="H55" s="210">
        <f>G55*60</f>
        <v>0</v>
      </c>
      <c r="I55" s="12"/>
      <c r="J55" s="12"/>
      <c r="K55" s="12"/>
    </row>
    <row r="56" spans="1:11" ht="7.9" customHeight="1">
      <c r="A56" s="343"/>
      <c r="B56" s="47" t="s">
        <v>39</v>
      </c>
      <c r="C56" s="135">
        <f>'Waste Monitoring - % Splits'!W56</f>
        <v>5.7387275994572485E-4</v>
      </c>
      <c r="D56" s="193">
        <f>C56*D16</f>
        <v>2.1491534859967394</v>
      </c>
      <c r="E56" s="194">
        <f>D56/60</f>
        <v>3.5819224766612326E-2</v>
      </c>
      <c r="F56" s="202"/>
      <c r="G56" s="210">
        <f>E56*F56</f>
        <v>0</v>
      </c>
      <c r="H56" s="210">
        <f>G56*60</f>
        <v>0</v>
      </c>
      <c r="I56" s="12"/>
      <c r="J56" s="12"/>
      <c r="K56" s="12"/>
    </row>
    <row r="57" spans="1:11" ht="7.9" customHeight="1">
      <c r="A57" s="343" t="s">
        <v>27</v>
      </c>
      <c r="B57" s="344"/>
      <c r="C57" s="135"/>
      <c r="D57" s="91">
        <f>SUM(D54:D56)</f>
        <v>50.878808012011135</v>
      </c>
      <c r="E57" s="181">
        <f>SUM(E54:E56)</f>
        <v>0.84798013353351898</v>
      </c>
      <c r="F57" s="206"/>
      <c r="G57" s="214"/>
      <c r="H57" s="214"/>
      <c r="I57" s="12"/>
      <c r="J57" s="12"/>
      <c r="K57" s="12"/>
    </row>
    <row r="58" spans="1:11" ht="7.9" customHeight="1">
      <c r="A58" s="17"/>
      <c r="B58" s="48"/>
      <c r="C58" s="138"/>
      <c r="D58" s="94"/>
      <c r="E58" s="184"/>
      <c r="F58" s="207"/>
      <c r="G58" s="215"/>
      <c r="H58" s="215"/>
      <c r="I58" s="12"/>
      <c r="J58" s="12"/>
      <c r="K58" s="12"/>
    </row>
    <row r="59" spans="1:11" ht="7.9" customHeight="1">
      <c r="A59" s="343" t="s">
        <v>13</v>
      </c>
      <c r="B59" s="47" t="s">
        <v>40</v>
      </c>
      <c r="C59" s="136">
        <f>'Waste Monitoring - % Splits'!W59</f>
        <v>1.7060936998053902E-3</v>
      </c>
      <c r="D59" s="195">
        <f>C59*D16</f>
        <v>6.3893209057711866</v>
      </c>
      <c r="E59" s="196">
        <f t="shared" ref="E59:E65" si="3">D59/60</f>
        <v>0.10648868176285312</v>
      </c>
      <c r="F59" s="203"/>
      <c r="G59" s="211">
        <f t="shared" ref="G59:G65" si="4">E59*F59</f>
        <v>0</v>
      </c>
      <c r="H59" s="211">
        <f t="shared" ref="H59:H65" si="5">G59*60</f>
        <v>0</v>
      </c>
      <c r="I59" s="12"/>
      <c r="J59" s="12"/>
      <c r="K59" s="12"/>
    </row>
    <row r="60" spans="1:11" ht="7.9" customHeight="1">
      <c r="A60" s="343"/>
      <c r="B60" s="47" t="s">
        <v>41</v>
      </c>
      <c r="C60" s="136">
        <f>'Waste Monitoring - % Splits'!W60</f>
        <v>7.2921794938028803E-4</v>
      </c>
      <c r="D60" s="195">
        <f>C60*D16</f>
        <v>2.7309212204291788</v>
      </c>
      <c r="E60" s="196">
        <f t="shared" si="3"/>
        <v>4.5515353673819647E-2</v>
      </c>
      <c r="F60" s="203"/>
      <c r="G60" s="211">
        <f t="shared" si="4"/>
        <v>0</v>
      </c>
      <c r="H60" s="211">
        <f t="shared" si="5"/>
        <v>0</v>
      </c>
      <c r="I60" s="12"/>
      <c r="J60" s="12"/>
      <c r="K60" s="12"/>
    </row>
    <row r="61" spans="1:11" ht="7.9" customHeight="1">
      <c r="A61" s="343"/>
      <c r="B61" s="47" t="s">
        <v>42</v>
      </c>
      <c r="C61" s="136">
        <f>'Waste Monitoring - % Splits'!W61</f>
        <v>4.0202897713551384E-3</v>
      </c>
      <c r="D61" s="195">
        <f>C61*D16</f>
        <v>15.055985193724993</v>
      </c>
      <c r="E61" s="196">
        <f t="shared" si="3"/>
        <v>0.25093308656208324</v>
      </c>
      <c r="F61" s="203"/>
      <c r="G61" s="211">
        <f t="shared" si="4"/>
        <v>0</v>
      </c>
      <c r="H61" s="211">
        <f t="shared" si="5"/>
        <v>0</v>
      </c>
      <c r="I61" s="12"/>
      <c r="J61" s="12"/>
      <c r="K61" s="12"/>
    </row>
    <row r="62" spans="1:11" ht="7.9" customHeight="1">
      <c r="A62" s="343"/>
      <c r="B62" s="47" t="s">
        <v>43</v>
      </c>
      <c r="C62" s="136">
        <f>'Waste Monitoring - % Splits'!W62</f>
        <v>5.3990354763290019E-2</v>
      </c>
      <c r="D62" s="195">
        <f>C62*D16</f>
        <v>202.19387858852113</v>
      </c>
      <c r="E62" s="196">
        <f t="shared" si="3"/>
        <v>3.3698979764753521</v>
      </c>
      <c r="F62" s="203"/>
      <c r="G62" s="211">
        <f t="shared" si="4"/>
        <v>0</v>
      </c>
      <c r="H62" s="211">
        <f t="shared" si="5"/>
        <v>0</v>
      </c>
      <c r="I62" s="12"/>
      <c r="J62" s="12"/>
      <c r="K62" s="12"/>
    </row>
    <row r="63" spans="1:11" ht="7.9" customHeight="1">
      <c r="A63" s="343"/>
      <c r="B63" s="47" t="s">
        <v>44</v>
      </c>
      <c r="C63" s="136">
        <f>'Waste Monitoring - % Splits'!W63</f>
        <v>9.9389116720769802E-5</v>
      </c>
      <c r="D63" s="195">
        <f>C63*D16</f>
        <v>0.37221224211928289</v>
      </c>
      <c r="E63" s="196">
        <f t="shared" si="3"/>
        <v>6.2035373686547147E-3</v>
      </c>
      <c r="F63" s="203"/>
      <c r="G63" s="211">
        <f t="shared" si="4"/>
        <v>0</v>
      </c>
      <c r="H63" s="211">
        <f t="shared" si="5"/>
        <v>0</v>
      </c>
      <c r="I63" s="12"/>
      <c r="J63" s="12"/>
      <c r="K63" s="12"/>
    </row>
    <row r="64" spans="1:11" ht="7.9" customHeight="1">
      <c r="A64" s="343"/>
      <c r="B64" s="47" t="s">
        <v>45</v>
      </c>
      <c r="C64" s="136">
        <f>'Waste Monitoring - % Splits'!W64</f>
        <v>3.4189856151944811E-5</v>
      </c>
      <c r="D64" s="195">
        <f>C64*D16</f>
        <v>0.12804101128903331</v>
      </c>
      <c r="E64" s="196">
        <f t="shared" si="3"/>
        <v>2.1340168548172216E-3</v>
      </c>
      <c r="F64" s="203"/>
      <c r="G64" s="211">
        <f t="shared" si="4"/>
        <v>0</v>
      </c>
      <c r="H64" s="211">
        <f t="shared" si="5"/>
        <v>0</v>
      </c>
      <c r="I64" s="12"/>
      <c r="J64" s="12"/>
      <c r="K64" s="12"/>
    </row>
    <row r="65" spans="1:11" ht="7.9" customHeight="1">
      <c r="A65" s="343"/>
      <c r="B65" s="47" t="s">
        <v>46</v>
      </c>
      <c r="C65" s="136">
        <f>'Waste Monitoring - % Splits'!W65</f>
        <v>0.1240934743511178</v>
      </c>
      <c r="D65" s="195">
        <f>C65*D16</f>
        <v>464.73006144493615</v>
      </c>
      <c r="E65" s="196">
        <f t="shared" si="3"/>
        <v>7.7455010240822695</v>
      </c>
      <c r="F65" s="203"/>
      <c r="G65" s="211">
        <f t="shared" si="4"/>
        <v>0</v>
      </c>
      <c r="H65" s="211">
        <f t="shared" si="5"/>
        <v>0</v>
      </c>
      <c r="I65" s="12"/>
      <c r="J65" s="12"/>
      <c r="K65" s="12"/>
    </row>
    <row r="66" spans="1:11" ht="7.9" customHeight="1">
      <c r="A66" s="343" t="s">
        <v>27</v>
      </c>
      <c r="B66" s="344"/>
      <c r="C66" s="135"/>
      <c r="D66" s="91">
        <f>SUM(D59:D65)</f>
        <v>691.60042060679098</v>
      </c>
      <c r="E66" s="181">
        <f>SUM(E59:E65)</f>
        <v>11.526673676779851</v>
      </c>
      <c r="F66" s="206"/>
      <c r="G66" s="214"/>
      <c r="H66" s="214"/>
      <c r="I66" s="12"/>
      <c r="J66" s="12"/>
      <c r="K66" s="12"/>
    </row>
    <row r="67" spans="1:11" ht="7.9" customHeight="1">
      <c r="A67" s="39"/>
      <c r="B67" s="49"/>
      <c r="C67" s="139"/>
      <c r="D67" s="95"/>
      <c r="E67" s="185"/>
      <c r="F67" s="207"/>
      <c r="G67" s="215"/>
      <c r="H67" s="215"/>
      <c r="I67" s="12"/>
      <c r="J67" s="12"/>
      <c r="K67" s="12"/>
    </row>
    <row r="68" spans="1:11" s="16" customFormat="1" ht="7.9" customHeight="1">
      <c r="A68" s="349" t="s">
        <v>47</v>
      </c>
      <c r="B68" s="350"/>
      <c r="C68" s="140"/>
      <c r="D68" s="96">
        <f>SUM(D42,D48,D52,D57,D6+D66)</f>
        <v>1746.9669175771426</v>
      </c>
      <c r="E68" s="186">
        <f>SUM(E42,E48,E52,E57,E6+E66)</f>
        <v>29.116115292952372</v>
      </c>
      <c r="F68" s="206"/>
      <c r="G68" s="214"/>
      <c r="H68" s="214"/>
      <c r="I68" s="12"/>
      <c r="J68" s="12"/>
      <c r="K68" s="12"/>
    </row>
    <row r="69" spans="1:11" ht="7.9" customHeight="1">
      <c r="A69" s="341"/>
      <c r="B69" s="342"/>
      <c r="C69" s="141"/>
      <c r="D69" s="97"/>
      <c r="E69" s="187"/>
      <c r="F69" s="207"/>
      <c r="G69" s="215"/>
      <c r="H69" s="215"/>
      <c r="I69" s="12"/>
      <c r="J69" s="12"/>
      <c r="K69" s="12"/>
    </row>
    <row r="70" spans="1:11" ht="7.9" customHeight="1">
      <c r="A70" s="339" t="s">
        <v>48</v>
      </c>
      <c r="B70" s="340"/>
      <c r="C70" s="142"/>
      <c r="D70" s="98"/>
      <c r="E70" s="188"/>
      <c r="F70" s="206"/>
      <c r="G70" s="214"/>
      <c r="H70" s="214"/>
      <c r="I70" s="12"/>
      <c r="J70" s="12"/>
      <c r="K70" s="12"/>
    </row>
    <row r="71" spans="1:11" ht="7.9" customHeight="1">
      <c r="A71" s="341"/>
      <c r="B71" s="342"/>
      <c r="C71" s="141"/>
      <c r="D71" s="97"/>
      <c r="E71" s="187"/>
      <c r="F71" s="207"/>
      <c r="G71" s="215"/>
      <c r="H71" s="215"/>
      <c r="I71" s="12"/>
      <c r="J71" s="12"/>
      <c r="K71" s="12"/>
    </row>
    <row r="72" spans="1:11" s="223" customFormat="1" ht="12.6" customHeight="1">
      <c r="A72" s="376" t="s">
        <v>6</v>
      </c>
      <c r="B72" s="377"/>
      <c r="C72" s="217">
        <f>'Waste Monitoring - % Splits'!W72</f>
        <v>1.0000000000000002</v>
      </c>
      <c r="D72" s="218">
        <f>SUM(D68,D30)</f>
        <v>3745.0000000000009</v>
      </c>
      <c r="E72" s="219">
        <f>SUM(E68,E30)</f>
        <v>62.416666666666679</v>
      </c>
      <c r="F72" s="220"/>
      <c r="G72" s="221">
        <f>SUM(G12:G71)</f>
        <v>0</v>
      </c>
      <c r="H72" s="221">
        <f>SUM(H12:H71)</f>
        <v>0</v>
      </c>
      <c r="I72" s="222"/>
      <c r="J72" s="222"/>
      <c r="K72" s="222"/>
    </row>
    <row r="73" spans="1:11" ht="7.9" customHeight="1" thickBot="1">
      <c r="A73" s="351"/>
      <c r="B73" s="352"/>
      <c r="C73" s="143"/>
      <c r="D73" s="99"/>
      <c r="E73" s="189"/>
      <c r="F73" s="208"/>
      <c r="G73" s="216"/>
      <c r="H73" s="216"/>
      <c r="I73" s="12"/>
      <c r="J73" s="12"/>
      <c r="K73" s="12"/>
    </row>
    <row r="76" spans="1:11">
      <c r="D76" s="104"/>
    </row>
  </sheetData>
  <mergeCells count="41">
    <mergeCell ref="A21:B21"/>
    <mergeCell ref="A22:B22"/>
    <mergeCell ref="A23:B23"/>
    <mergeCell ref="A24:B24"/>
    <mergeCell ref="A25:B25"/>
    <mergeCell ref="A1:H9"/>
    <mergeCell ref="F10:H10"/>
    <mergeCell ref="A29:B29"/>
    <mergeCell ref="A18:B18"/>
    <mergeCell ref="A19:B19"/>
    <mergeCell ref="A20:B20"/>
    <mergeCell ref="A17:B17"/>
    <mergeCell ref="A10:B10"/>
    <mergeCell ref="A11:B11"/>
    <mergeCell ref="A12:B12"/>
    <mergeCell ref="A13:B13"/>
    <mergeCell ref="A14:B14"/>
    <mergeCell ref="A16:B16"/>
    <mergeCell ref="A26:B26"/>
    <mergeCell ref="A27:B27"/>
    <mergeCell ref="A28:B28"/>
    <mergeCell ref="A57:B57"/>
    <mergeCell ref="A30:B30"/>
    <mergeCell ref="A31:B31"/>
    <mergeCell ref="A32:B32"/>
    <mergeCell ref="A33:B33"/>
    <mergeCell ref="A34:A41"/>
    <mergeCell ref="A54:A56"/>
    <mergeCell ref="A42:B42"/>
    <mergeCell ref="A44:A47"/>
    <mergeCell ref="A50:A51"/>
    <mergeCell ref="A52:B52"/>
    <mergeCell ref="A48:B48"/>
    <mergeCell ref="A73:B73"/>
    <mergeCell ref="A59:A65"/>
    <mergeCell ref="A66:B66"/>
    <mergeCell ref="A68:B68"/>
    <mergeCell ref="A69:B69"/>
    <mergeCell ref="A70:B70"/>
    <mergeCell ref="A71:B71"/>
    <mergeCell ref="A72:B72"/>
  </mergeCells>
  <printOptions verticalCentered="1"/>
  <pageMargins left="0.7" right="0.7" top="0.75" bottom="0.75" header="0.3" footer="0.3"/>
  <pageSetup paperSize="9" firstPageNumber="0" fitToHeight="0" orientation="landscape" horizontalDpi="300" verticalDpi="300" r:id="rId1"/>
  <headerFooter>
    <oddHeader>&amp;C&amp;"Calibri"&amp;10&amp;K000000Confidential&amp;1#_x000D_&amp;"Calibri"&amp;11&amp;K000000&amp;10&amp;A</oddHeader>
    <oddFooter>&amp;C&amp;10Page &amp;P&amp;R&amp;1#&amp;"Calibri"&amp;10&amp;K000000Confidential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8FBC3-9E92-43D0-814C-71020EFF10DC}">
  <sheetPr>
    <pageSetUpPr fitToPage="1"/>
  </sheetPr>
  <dimension ref="B1:H50"/>
  <sheetViews>
    <sheetView showGridLines="0" view="pageBreakPreview" topLeftCell="B1" zoomScale="96" zoomScaleNormal="70" zoomScaleSheetLayoutView="96" workbookViewId="0">
      <selection activeCell="G22" sqref="G22"/>
    </sheetView>
  </sheetViews>
  <sheetFormatPr defaultColWidth="8.75" defaultRowHeight="8.25"/>
  <cols>
    <col min="1" max="1" width="17.75" style="7" customWidth="1"/>
    <col min="2" max="2" width="20" style="7" customWidth="1"/>
    <col min="3" max="3" width="44.25" style="7" customWidth="1"/>
    <col min="4" max="4" width="6.125" style="103" customWidth="1"/>
    <col min="5" max="5" width="11" style="103" customWidth="1"/>
    <col min="6" max="15" width="12.625" style="7" customWidth="1"/>
    <col min="16" max="1014" width="10.625" style="7" customWidth="1"/>
    <col min="1015" max="16384" width="8.75" style="7"/>
  </cols>
  <sheetData>
    <row r="1" spans="2:8" ht="7.9" customHeight="1">
      <c r="B1" s="378" t="s">
        <v>0</v>
      </c>
      <c r="C1" s="379"/>
      <c r="D1" s="379"/>
      <c r="E1" s="387"/>
    </row>
    <row r="2" spans="2:8" ht="7.9" customHeight="1">
      <c r="B2" s="380"/>
      <c r="C2" s="381"/>
      <c r="D2" s="381"/>
      <c r="E2" s="388"/>
    </row>
    <row r="3" spans="2:8" ht="7.9" customHeight="1">
      <c r="B3" s="380"/>
      <c r="C3" s="381"/>
      <c r="D3" s="381"/>
      <c r="E3" s="388"/>
    </row>
    <row r="4" spans="2:8" ht="7.9" customHeight="1">
      <c r="B4" s="380"/>
      <c r="C4" s="381"/>
      <c r="D4" s="381"/>
      <c r="E4" s="388"/>
    </row>
    <row r="5" spans="2:8" ht="7.9" customHeight="1">
      <c r="B5" s="380"/>
      <c r="C5" s="381"/>
      <c r="D5" s="381"/>
      <c r="E5" s="388"/>
    </row>
    <row r="6" spans="2:8" ht="7.9" customHeight="1">
      <c r="B6" s="236"/>
      <c r="C6" s="237"/>
      <c r="D6" s="237"/>
      <c r="E6" s="238"/>
    </row>
    <row r="7" spans="2:8" ht="7.9" customHeight="1">
      <c r="B7" s="380" t="s">
        <v>69</v>
      </c>
      <c r="C7" s="381"/>
      <c r="D7" s="381"/>
      <c r="E7" s="388"/>
      <c r="F7"/>
    </row>
    <row r="8" spans="2:8" ht="7.9" customHeight="1">
      <c r="B8" s="380"/>
      <c r="C8" s="381"/>
      <c r="D8" s="381"/>
      <c r="E8" s="388"/>
    </row>
    <row r="9" spans="2:8" ht="7.9" customHeight="1">
      <c r="B9" s="380"/>
      <c r="C9" s="381"/>
      <c r="D9" s="381"/>
      <c r="E9" s="388"/>
    </row>
    <row r="10" spans="2:8" s="9" customFormat="1" ht="7.9" customHeight="1" thickBot="1">
      <c r="B10" s="382"/>
      <c r="C10" s="383"/>
      <c r="D10" s="383"/>
      <c r="E10" s="389"/>
    </row>
    <row r="11" spans="2:8" ht="7.9" customHeight="1" thickBot="1">
      <c r="B11" s="392" t="s">
        <v>17</v>
      </c>
      <c r="C11" s="393"/>
      <c r="D11" s="390" t="s">
        <v>70</v>
      </c>
      <c r="E11" s="391"/>
    </row>
    <row r="12" spans="2:8" s="232" customFormat="1" ht="15.6" customHeight="1" thickBot="1">
      <c r="B12" s="394"/>
      <c r="C12" s="395"/>
      <c r="D12" s="233" t="s">
        <v>71</v>
      </c>
      <c r="E12" s="233" t="s">
        <v>72</v>
      </c>
    </row>
    <row r="13" spans="2:8" ht="7.9" customHeight="1">
      <c r="B13" s="341"/>
      <c r="C13" s="342"/>
      <c r="D13" s="179"/>
      <c r="E13" s="179"/>
    </row>
    <row r="14" spans="2:8" ht="7.9" customHeight="1">
      <c r="B14" s="353"/>
      <c r="C14" s="354"/>
      <c r="D14" s="179"/>
      <c r="E14" s="179"/>
    </row>
    <row r="15" spans="2:8" ht="7.9" customHeight="1">
      <c r="B15" s="343" t="s">
        <v>18</v>
      </c>
      <c r="C15" s="47" t="s">
        <v>19</v>
      </c>
      <c r="D15" s="198" t="s">
        <v>73</v>
      </c>
      <c r="E15" s="198">
        <f>'Waste Monitoring - Return Proje'!E34</f>
        <v>1.2662288264655885</v>
      </c>
      <c r="F15" s="12"/>
      <c r="G15" s="12"/>
      <c r="H15" s="12"/>
    </row>
    <row r="16" spans="2:8" ht="7.9" customHeight="1">
      <c r="B16" s="343"/>
      <c r="C16" s="47" t="s">
        <v>20</v>
      </c>
      <c r="D16" s="198" t="s">
        <v>73</v>
      </c>
      <c r="E16" s="198">
        <f>'Waste Monitoring - Return Proje'!E35</f>
        <v>0</v>
      </c>
      <c r="F16" s="12"/>
      <c r="G16" s="12"/>
      <c r="H16" s="12"/>
    </row>
    <row r="17" spans="2:8" ht="7.9" customHeight="1">
      <c r="B17" s="343"/>
      <c r="C17" s="47" t="s">
        <v>21</v>
      </c>
      <c r="D17" s="199" t="s">
        <v>73</v>
      </c>
      <c r="E17" s="199">
        <f>'Waste Monitoring - Return Proje'!E36</f>
        <v>0.24423326620393612</v>
      </c>
      <c r="F17" s="12"/>
      <c r="G17" s="12"/>
      <c r="H17" s="12"/>
    </row>
    <row r="18" spans="2:8" ht="7.9" customHeight="1">
      <c r="B18" s="343"/>
      <c r="C18" s="47" t="s">
        <v>22</v>
      </c>
      <c r="D18" s="199" t="s">
        <v>73</v>
      </c>
      <c r="E18" s="199">
        <f>'Waste Monitoring - Return Proje'!E37</f>
        <v>1.0822939434849763</v>
      </c>
      <c r="F18" s="12"/>
      <c r="G18" s="12"/>
      <c r="H18" s="12"/>
    </row>
    <row r="19" spans="2:8" ht="7.9" customHeight="1">
      <c r="B19" s="343"/>
      <c r="C19" s="47" t="s">
        <v>23</v>
      </c>
      <c r="D19" s="199" t="s">
        <v>73</v>
      </c>
      <c r="E19" s="199">
        <f>'Waste Monitoring - Return Proje'!E38</f>
        <v>0.44352810770933748</v>
      </c>
      <c r="F19" s="12"/>
      <c r="G19" s="12"/>
      <c r="H19" s="12"/>
    </row>
    <row r="20" spans="2:8" ht="7.9" customHeight="1">
      <c r="B20" s="343"/>
      <c r="C20" s="47" t="s">
        <v>24</v>
      </c>
      <c r="D20" s="199" t="s">
        <v>73</v>
      </c>
      <c r="E20" s="199">
        <f>'Waste Monitoring - Return Proje'!E39</f>
        <v>5.0707714451383647E-2</v>
      </c>
      <c r="F20" s="12"/>
      <c r="G20" s="12"/>
      <c r="H20" s="12"/>
    </row>
    <row r="21" spans="2:8" ht="7.9" customHeight="1">
      <c r="B21" s="343"/>
      <c r="C21" s="47" t="s">
        <v>25</v>
      </c>
      <c r="D21" s="199" t="s">
        <v>73</v>
      </c>
      <c r="E21" s="199">
        <f>'Waste Monitoring - Return Proje'!E40</f>
        <v>3.5260906403433399E-2</v>
      </c>
      <c r="F21" s="12"/>
      <c r="G21" s="12"/>
      <c r="H21" s="12"/>
    </row>
    <row r="22" spans="2:8" ht="7.9" customHeight="1">
      <c r="B22" s="343"/>
      <c r="C22" s="47" t="s">
        <v>26</v>
      </c>
      <c r="D22" s="199" t="s">
        <v>73</v>
      </c>
      <c r="E22" s="199">
        <f>'Waste Monitoring - Return Proje'!E41</f>
        <v>0.23868730379635883</v>
      </c>
      <c r="F22" s="12"/>
      <c r="G22" s="12"/>
      <c r="H22" s="12"/>
    </row>
    <row r="23" spans="2:8" ht="7.9" customHeight="1">
      <c r="B23" s="343" t="s">
        <v>27</v>
      </c>
      <c r="C23" s="344"/>
      <c r="D23" s="182"/>
      <c r="E23" s="234">
        <f>SUM(E15:E22)</f>
        <v>3.3609400685150144</v>
      </c>
      <c r="F23" s="12"/>
      <c r="G23" s="12"/>
      <c r="H23" s="12"/>
    </row>
    <row r="24" spans="2:8" ht="7.9" customHeight="1">
      <c r="B24" s="17"/>
      <c r="C24" s="48"/>
      <c r="D24" s="183"/>
      <c r="E24" s="183"/>
      <c r="F24" s="12"/>
      <c r="G24" s="12"/>
      <c r="H24" s="12"/>
    </row>
    <row r="25" spans="2:8" ht="7.9" customHeight="1">
      <c r="B25" s="343" t="s">
        <v>28</v>
      </c>
      <c r="C25" s="47" t="s">
        <v>29</v>
      </c>
      <c r="D25" s="199" t="s">
        <v>73</v>
      </c>
      <c r="E25" s="199">
        <f>'Waste Monitoring - Return Proje'!E44</f>
        <v>3.6566378807293103</v>
      </c>
      <c r="F25" s="12"/>
      <c r="G25" s="12"/>
      <c r="H25" s="12"/>
    </row>
    <row r="26" spans="2:8" ht="7.9" customHeight="1">
      <c r="B26" s="343"/>
      <c r="C26" s="47" t="s">
        <v>30</v>
      </c>
      <c r="D26" s="199" t="s">
        <v>73</v>
      </c>
      <c r="E26" s="199">
        <f>'Waste Monitoring - Return Proje'!E45</f>
        <v>5.0946426569329475</v>
      </c>
      <c r="F26" s="12"/>
      <c r="G26" s="12"/>
      <c r="H26" s="12"/>
    </row>
    <row r="27" spans="2:8" ht="7.9" customHeight="1">
      <c r="B27" s="343"/>
      <c r="C27" s="47" t="s">
        <v>31</v>
      </c>
      <c r="D27" s="199" t="s">
        <v>73</v>
      </c>
      <c r="E27" s="199">
        <f>'Waste Monitoring - Return Proje'!E46</f>
        <v>3.9474224913476315</v>
      </c>
      <c r="F27" s="12"/>
      <c r="G27" s="12"/>
      <c r="H27" s="12"/>
    </row>
    <row r="28" spans="2:8" ht="7.9" customHeight="1">
      <c r="B28" s="343"/>
      <c r="C28" s="47" t="s">
        <v>32</v>
      </c>
      <c r="D28" s="199" t="s">
        <v>73</v>
      </c>
      <c r="E28" s="199">
        <f>'Waste Monitoring - Return Proje'!E47</f>
        <v>0.68181838511410242</v>
      </c>
      <c r="F28" s="12"/>
      <c r="G28" s="12"/>
      <c r="H28" s="12"/>
    </row>
    <row r="29" spans="2:8" ht="7.9" customHeight="1">
      <c r="B29" s="343" t="s">
        <v>27</v>
      </c>
      <c r="C29" s="344"/>
      <c r="D29" s="182"/>
      <c r="E29" s="234">
        <f>SUM(E25:E28)</f>
        <v>13.38052141412399</v>
      </c>
      <c r="F29" s="12"/>
      <c r="G29" s="12"/>
      <c r="H29" s="12"/>
    </row>
    <row r="30" spans="2:8" ht="7.9" customHeight="1">
      <c r="B30" s="17"/>
      <c r="C30" s="48"/>
      <c r="D30" s="183"/>
      <c r="E30" s="183"/>
      <c r="F30" s="12"/>
      <c r="G30" s="12"/>
      <c r="H30" s="12"/>
    </row>
    <row r="31" spans="2:8" ht="7.9" customHeight="1">
      <c r="B31" s="343" t="s">
        <v>33</v>
      </c>
      <c r="C31" s="47" t="s">
        <v>34</v>
      </c>
      <c r="D31" s="194" t="s">
        <v>74</v>
      </c>
      <c r="E31" s="194">
        <f>'Waste Monitoring - Return Proje'!E50</f>
        <v>0</v>
      </c>
      <c r="F31" s="12"/>
      <c r="G31" s="12"/>
      <c r="H31" s="12"/>
    </row>
    <row r="32" spans="2:8" ht="7.9" customHeight="1">
      <c r="B32" s="343"/>
      <c r="C32" s="47" t="s">
        <v>35</v>
      </c>
      <c r="D32" s="194" t="s">
        <v>74</v>
      </c>
      <c r="E32" s="194">
        <f>'Waste Monitoring - Return Proje'!E51</f>
        <v>0</v>
      </c>
      <c r="F32" s="12"/>
      <c r="G32" s="12"/>
      <c r="H32" s="12"/>
    </row>
    <row r="33" spans="2:8" ht="7.9" customHeight="1">
      <c r="B33" s="343" t="s">
        <v>27</v>
      </c>
      <c r="C33" s="344"/>
      <c r="D33" s="181"/>
      <c r="E33" s="235">
        <f>SUM(E31:E32)</f>
        <v>0</v>
      </c>
      <c r="F33" s="12"/>
      <c r="G33" s="12"/>
      <c r="H33" s="12"/>
    </row>
    <row r="34" spans="2:8" ht="7.9" customHeight="1">
      <c r="B34" s="17"/>
      <c r="C34" s="48"/>
      <c r="D34" s="184"/>
      <c r="E34" s="184"/>
      <c r="F34" s="12"/>
      <c r="G34" s="12"/>
      <c r="H34" s="12"/>
    </row>
    <row r="35" spans="2:8" ht="7.9" customHeight="1">
      <c r="B35" s="343" t="s">
        <v>36</v>
      </c>
      <c r="C35" s="47" t="s">
        <v>37</v>
      </c>
      <c r="D35" s="194" t="s">
        <v>75</v>
      </c>
      <c r="E35" s="194">
        <f>'Waste Monitoring - Return Proje'!E54</f>
        <v>7.9541756140890749E-2</v>
      </c>
      <c r="F35" s="12"/>
      <c r="G35" s="12"/>
      <c r="H35" s="12"/>
    </row>
    <row r="36" spans="2:8" ht="7.9" customHeight="1">
      <c r="B36" s="343"/>
      <c r="C36" s="47" t="s">
        <v>38</v>
      </c>
      <c r="D36" s="194" t="s">
        <v>73</v>
      </c>
      <c r="E36" s="194">
        <f>'Waste Monitoring - Return Proje'!E55</f>
        <v>0.73261915262601585</v>
      </c>
      <c r="F36" s="12"/>
      <c r="G36" s="12"/>
      <c r="H36" s="12"/>
    </row>
    <row r="37" spans="2:8" ht="7.9" customHeight="1">
      <c r="B37" s="343"/>
      <c r="C37" s="47" t="s">
        <v>39</v>
      </c>
      <c r="D37" s="194" t="s">
        <v>73</v>
      </c>
      <c r="E37" s="194">
        <f>'Waste Monitoring - Return Proje'!E56</f>
        <v>3.5819224766612326E-2</v>
      </c>
      <c r="F37" s="12"/>
      <c r="G37" s="12"/>
      <c r="H37" s="12"/>
    </row>
    <row r="38" spans="2:8" ht="7.9" customHeight="1">
      <c r="B38" s="343" t="s">
        <v>27</v>
      </c>
      <c r="C38" s="344"/>
      <c r="D38" s="181"/>
      <c r="E38" s="235">
        <f>SUM(E35:E37)</f>
        <v>0.84798013353351898</v>
      </c>
      <c r="F38" s="12"/>
      <c r="G38" s="12"/>
      <c r="H38" s="12"/>
    </row>
    <row r="39" spans="2:8" ht="7.9" customHeight="1">
      <c r="B39" s="17"/>
      <c r="C39" s="48"/>
      <c r="D39" s="184"/>
      <c r="E39" s="184"/>
      <c r="F39" s="12"/>
      <c r="G39" s="12"/>
      <c r="H39" s="12"/>
    </row>
    <row r="40" spans="2:8" ht="7.9" customHeight="1">
      <c r="B40" s="343" t="s">
        <v>13</v>
      </c>
      <c r="C40" s="47" t="s">
        <v>40</v>
      </c>
      <c r="D40" s="196" t="s">
        <v>73</v>
      </c>
      <c r="E40" s="196">
        <f>'Waste Monitoring - Return Proje'!E59</f>
        <v>0.10648868176285312</v>
      </c>
      <c r="F40" s="12"/>
      <c r="G40" s="12"/>
      <c r="H40" s="12"/>
    </row>
    <row r="41" spans="2:8" ht="7.9" customHeight="1">
      <c r="B41" s="343"/>
      <c r="C41" s="47" t="s">
        <v>41</v>
      </c>
      <c r="D41" s="196" t="s">
        <v>73</v>
      </c>
      <c r="E41" s="196">
        <f>'Waste Monitoring - Return Proje'!E60</f>
        <v>4.5515353673819647E-2</v>
      </c>
      <c r="F41" s="12"/>
      <c r="G41" s="12"/>
      <c r="H41" s="12"/>
    </row>
    <row r="42" spans="2:8" ht="7.9" customHeight="1">
      <c r="B42" s="343"/>
      <c r="C42" s="47" t="s">
        <v>42</v>
      </c>
      <c r="D42" s="196" t="s">
        <v>73</v>
      </c>
      <c r="E42" s="199">
        <f>'Waste Monitoring - Return Proje'!E61</f>
        <v>0.25093308656208324</v>
      </c>
      <c r="F42" s="12"/>
      <c r="G42" s="12"/>
      <c r="H42" s="12"/>
    </row>
    <row r="43" spans="2:8" ht="7.9" customHeight="1">
      <c r="B43" s="343"/>
      <c r="C43" s="47" t="s">
        <v>43</v>
      </c>
      <c r="D43" s="196" t="s">
        <v>73</v>
      </c>
      <c r="E43" s="199">
        <f>'Waste Monitoring - Return Proje'!E62</f>
        <v>3.3698979764753521</v>
      </c>
      <c r="F43" s="12"/>
      <c r="G43" s="12"/>
      <c r="H43" s="12"/>
    </row>
    <row r="44" spans="2:8" ht="7.9" customHeight="1">
      <c r="B44" s="343"/>
      <c r="C44" s="47" t="s">
        <v>44</v>
      </c>
      <c r="D44" s="196" t="s">
        <v>73</v>
      </c>
      <c r="E44" s="199">
        <f>'Waste Monitoring - Return Proje'!E63</f>
        <v>6.2035373686547147E-3</v>
      </c>
      <c r="F44" s="12"/>
      <c r="G44" s="12"/>
      <c r="H44" s="12"/>
    </row>
    <row r="45" spans="2:8" ht="7.9" customHeight="1">
      <c r="B45" s="343"/>
      <c r="C45" s="47" t="s">
        <v>45</v>
      </c>
      <c r="D45" s="196" t="s">
        <v>73</v>
      </c>
      <c r="E45" s="199">
        <f>'Waste Monitoring - Return Proje'!E64</f>
        <v>2.1340168548172216E-3</v>
      </c>
      <c r="F45" s="12"/>
      <c r="G45" s="12"/>
      <c r="H45" s="12"/>
    </row>
    <row r="46" spans="2:8" ht="7.9" customHeight="1">
      <c r="B46" s="343"/>
      <c r="C46" s="47" t="s">
        <v>46</v>
      </c>
      <c r="D46" s="196" t="s">
        <v>73</v>
      </c>
      <c r="E46" s="199">
        <f>'Waste Monitoring - Return Proje'!E65</f>
        <v>7.7455010240822695</v>
      </c>
      <c r="F46" s="12"/>
      <c r="G46" s="12"/>
      <c r="H46" s="12"/>
    </row>
    <row r="47" spans="2:8" ht="7.9" customHeight="1">
      <c r="B47" s="343" t="s">
        <v>27</v>
      </c>
      <c r="C47" s="344"/>
      <c r="D47" s="181"/>
      <c r="E47" s="181">
        <f>SUM(E40:E46)</f>
        <v>11.526673676779851</v>
      </c>
      <c r="F47" s="12"/>
      <c r="G47" s="12"/>
      <c r="H47" s="12"/>
    </row>
    <row r="48" spans="2:8" ht="7.9" customHeight="1">
      <c r="B48" s="39"/>
      <c r="C48" s="49"/>
      <c r="D48" s="185"/>
      <c r="E48" s="185"/>
      <c r="F48" s="12"/>
      <c r="G48" s="12"/>
      <c r="H48" s="12"/>
    </row>
    <row r="49" spans="2:8" s="16" customFormat="1" ht="7.9" customHeight="1">
      <c r="B49" s="349" t="s">
        <v>47</v>
      </c>
      <c r="C49" s="350"/>
      <c r="D49" s="186"/>
      <c r="E49" s="186">
        <f>SUM(E23,E29,E33,E38,E47)</f>
        <v>29.116115292952372</v>
      </c>
      <c r="F49" s="12">
        <v>500</v>
      </c>
      <c r="G49" s="12">
        <f>E49*F49</f>
        <v>14558.057646476187</v>
      </c>
      <c r="H49" s="12"/>
    </row>
    <row r="50" spans="2:8" ht="7.9" customHeight="1" thickBot="1">
      <c r="B50" s="351"/>
      <c r="C50" s="352"/>
      <c r="D50" s="189"/>
      <c r="E50" s="189"/>
      <c r="F50" s="12"/>
      <c r="G50" s="12"/>
      <c r="H50" s="12"/>
    </row>
  </sheetData>
  <mergeCells count="18">
    <mergeCell ref="B25:B28"/>
    <mergeCell ref="B29:C29"/>
    <mergeCell ref="B31:B32"/>
    <mergeCell ref="B13:C13"/>
    <mergeCell ref="B1:E5"/>
    <mergeCell ref="B7:E10"/>
    <mergeCell ref="B50:C50"/>
    <mergeCell ref="D11:E11"/>
    <mergeCell ref="B11:C12"/>
    <mergeCell ref="B33:C33"/>
    <mergeCell ref="B35:B37"/>
    <mergeCell ref="B38:C38"/>
    <mergeCell ref="B40:B46"/>
    <mergeCell ref="B47:C47"/>
    <mergeCell ref="B49:C49"/>
    <mergeCell ref="B14:C14"/>
    <mergeCell ref="B15:B22"/>
    <mergeCell ref="B23:C23"/>
  </mergeCells>
  <printOptions verticalCentered="1"/>
  <pageMargins left="0.7" right="0.7" top="0.75" bottom="0.75" header="0.3" footer="0.3"/>
  <pageSetup paperSize="9" scale="99" firstPageNumber="0" orientation="portrait" horizontalDpi="300" verticalDpi="300" r:id="rId1"/>
  <headerFooter>
    <oddHeader>&amp;C&amp;"Calibri"&amp;10&amp;K000000Confidential&amp;1#</oddHeader>
    <oddFooter>&amp;C&amp;10Page &amp;P&amp;R&amp;1#&amp;"Calibri"&amp;10&amp;K000000Confidential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D5:H79"/>
  <sheetViews>
    <sheetView topLeftCell="A52" zoomScale="80" zoomScaleNormal="80" workbookViewId="0">
      <selection activeCell="J14" sqref="J14"/>
    </sheetView>
  </sheetViews>
  <sheetFormatPr defaultRowHeight="14.25"/>
  <cols>
    <col min="1" max="4" width="10.375" customWidth="1"/>
    <col min="5" max="5" width="16.125" customWidth="1"/>
    <col min="6" max="6" width="10.375" customWidth="1"/>
    <col min="7" max="7" width="15.625" customWidth="1"/>
    <col min="8" max="1025" width="10.375" customWidth="1"/>
  </cols>
  <sheetData>
    <row r="5" spans="4:8" ht="15">
      <c r="D5" s="1" t="s">
        <v>76</v>
      </c>
      <c r="E5" s="1" t="s">
        <v>77</v>
      </c>
      <c r="F5" s="1" t="s">
        <v>78</v>
      </c>
      <c r="G5" s="1" t="s">
        <v>79</v>
      </c>
    </row>
    <row r="6" spans="4:8" ht="15">
      <c r="D6" s="1" t="s">
        <v>80</v>
      </c>
      <c r="E6" s="1" t="s">
        <v>19</v>
      </c>
      <c r="F6" s="1">
        <v>298</v>
      </c>
      <c r="G6" s="1" t="s">
        <v>81</v>
      </c>
      <c r="H6">
        <f>F6+F26+F79</f>
        <v>460</v>
      </c>
    </row>
    <row r="7" spans="4:8" ht="15">
      <c r="E7" s="1" t="s">
        <v>23</v>
      </c>
      <c r="F7" s="1">
        <v>12</v>
      </c>
      <c r="H7">
        <f>F7+F44+F63</f>
        <v>17</v>
      </c>
    </row>
    <row r="8" spans="4:8" ht="15">
      <c r="E8" s="1" t="s">
        <v>82</v>
      </c>
      <c r="F8" s="1">
        <v>64</v>
      </c>
      <c r="H8">
        <f>F8+F27+F60+F62</f>
        <v>159</v>
      </c>
    </row>
    <row r="9" spans="4:8" ht="15">
      <c r="E9" s="1" t="s">
        <v>83</v>
      </c>
      <c r="F9" s="1">
        <v>101</v>
      </c>
      <c r="H9">
        <f>F9+F28+F45+F67</f>
        <v>185</v>
      </c>
    </row>
    <row r="10" spans="4:8" ht="15">
      <c r="E10" s="1" t="s">
        <v>84</v>
      </c>
      <c r="F10" s="1">
        <v>16</v>
      </c>
      <c r="H10">
        <f>F10+F29+F46+F64</f>
        <v>23</v>
      </c>
    </row>
    <row r="11" spans="4:8" ht="15">
      <c r="E11" s="1" t="s">
        <v>85</v>
      </c>
      <c r="F11" s="1">
        <v>320</v>
      </c>
      <c r="H11">
        <f>F11+F30+F47+F68</f>
        <v>462</v>
      </c>
    </row>
    <row r="12" spans="4:8" ht="15">
      <c r="E12" s="1" t="s">
        <v>86</v>
      </c>
      <c r="F12" s="1">
        <v>81</v>
      </c>
      <c r="H12">
        <f>F12+F31+F48+F73</f>
        <v>328</v>
      </c>
    </row>
    <row r="13" spans="4:8" ht="15">
      <c r="E13" s="1" t="s">
        <v>87</v>
      </c>
      <c r="F13" s="1">
        <v>192</v>
      </c>
      <c r="H13">
        <f>F13+F32+F49+F76</f>
        <v>453</v>
      </c>
    </row>
    <row r="14" spans="4:8" ht="15">
      <c r="E14" s="1" t="s">
        <v>88</v>
      </c>
      <c r="F14" s="1">
        <v>71</v>
      </c>
      <c r="H14">
        <f>F14+F36+F53+F66</f>
        <v>144</v>
      </c>
    </row>
    <row r="15" spans="4:8" ht="15">
      <c r="E15" s="1" t="s">
        <v>89</v>
      </c>
      <c r="F15" s="1">
        <v>216</v>
      </c>
      <c r="H15">
        <f>F15+F51+F71</f>
        <v>452</v>
      </c>
    </row>
    <row r="16" spans="4:8" ht="15">
      <c r="E16" s="1" t="s">
        <v>90</v>
      </c>
      <c r="F16" s="1">
        <v>192</v>
      </c>
      <c r="H16">
        <f>F16+F35+F52+F70</f>
        <v>298</v>
      </c>
    </row>
    <row r="17" spans="4:8" ht="15">
      <c r="E17" s="1" t="s">
        <v>91</v>
      </c>
      <c r="F17" s="1">
        <v>52</v>
      </c>
      <c r="H17">
        <f>F17+F37+F54+F72</f>
        <v>131</v>
      </c>
    </row>
    <row r="18" spans="4:8" ht="15">
      <c r="E18" s="1" t="s">
        <v>92</v>
      </c>
      <c r="F18" s="1">
        <v>334</v>
      </c>
      <c r="H18">
        <f>F18+F33+F50+F69</f>
        <v>687</v>
      </c>
    </row>
    <row r="19" spans="4:8" ht="15">
      <c r="E19" s="1" t="s">
        <v>93</v>
      </c>
      <c r="F19" s="1">
        <v>97</v>
      </c>
      <c r="H19">
        <f>F19+F38+F55+F75</f>
        <v>192</v>
      </c>
    </row>
    <row r="20" spans="4:8" ht="15">
      <c r="E20" s="1" t="s">
        <v>94</v>
      </c>
      <c r="F20" s="1">
        <v>30</v>
      </c>
      <c r="H20">
        <f>F20+F39+F57+F78</f>
        <v>69</v>
      </c>
    </row>
    <row r="21" spans="4:8" ht="15">
      <c r="E21" s="1" t="s">
        <v>95</v>
      </c>
      <c r="F21" s="1">
        <v>610</v>
      </c>
      <c r="H21">
        <f>F21+F40+F56+F74</f>
        <v>1024</v>
      </c>
    </row>
    <row r="22" spans="4:8" ht="15">
      <c r="E22" s="1" t="s">
        <v>96</v>
      </c>
      <c r="F22" s="1">
        <v>8</v>
      </c>
      <c r="H22">
        <f>F22+F59+F65</f>
        <v>31</v>
      </c>
    </row>
    <row r="23" spans="4:8" ht="15">
      <c r="E23" s="1" t="s">
        <v>97</v>
      </c>
      <c r="F23" s="1">
        <v>36</v>
      </c>
      <c r="H23">
        <f>F23+F41+F58+F77</f>
        <v>102</v>
      </c>
    </row>
    <row r="24" spans="4:8" ht="15">
      <c r="E24" s="1" t="s">
        <v>98</v>
      </c>
      <c r="F24" s="1">
        <v>2</v>
      </c>
      <c r="H24">
        <f>F24</f>
        <v>2</v>
      </c>
    </row>
    <row r="25" spans="4:8" ht="15">
      <c r="D25" s="1" t="s">
        <v>99</v>
      </c>
      <c r="G25" s="1" t="s">
        <v>81</v>
      </c>
    </row>
    <row r="26" spans="4:8" ht="15">
      <c r="E26" s="1" t="s">
        <v>19</v>
      </c>
      <c r="F26" s="1">
        <v>56</v>
      </c>
    </row>
    <row r="27" spans="4:8" ht="15">
      <c r="E27" s="1" t="s">
        <v>100</v>
      </c>
      <c r="F27" s="1">
        <v>25</v>
      </c>
    </row>
    <row r="28" spans="4:8" ht="15">
      <c r="E28" s="1" t="s">
        <v>83</v>
      </c>
      <c r="F28" s="1">
        <v>14</v>
      </c>
    </row>
    <row r="29" spans="4:8" ht="15">
      <c r="E29" s="1" t="s">
        <v>84</v>
      </c>
      <c r="F29" s="1">
        <v>3</v>
      </c>
    </row>
    <row r="30" spans="4:8" ht="15">
      <c r="E30" s="1" t="s">
        <v>85</v>
      </c>
      <c r="F30" s="1">
        <v>39</v>
      </c>
    </row>
    <row r="31" spans="4:8" ht="15">
      <c r="E31" s="1" t="s">
        <v>86</v>
      </c>
      <c r="F31" s="1">
        <v>62</v>
      </c>
    </row>
    <row r="32" spans="4:8" ht="15">
      <c r="E32" s="1" t="s">
        <v>101</v>
      </c>
      <c r="F32" s="1">
        <v>87</v>
      </c>
    </row>
    <row r="33" spans="4:7" ht="15">
      <c r="E33" s="1" t="s">
        <v>102</v>
      </c>
      <c r="F33" s="1">
        <v>103</v>
      </c>
    </row>
    <row r="34" spans="4:7" ht="15">
      <c r="E34" s="1" t="s">
        <v>89</v>
      </c>
      <c r="F34" s="1">
        <v>65</v>
      </c>
    </row>
    <row r="35" spans="4:7" ht="15">
      <c r="E35" s="1" t="s">
        <v>90</v>
      </c>
      <c r="F35" s="1">
        <v>46</v>
      </c>
    </row>
    <row r="36" spans="4:7" ht="15">
      <c r="E36" s="1" t="s">
        <v>88</v>
      </c>
      <c r="F36" s="1">
        <v>39</v>
      </c>
    </row>
    <row r="37" spans="4:7" ht="15">
      <c r="E37" s="1" t="s">
        <v>91</v>
      </c>
      <c r="F37" s="1">
        <v>34</v>
      </c>
    </row>
    <row r="38" spans="4:7" ht="15">
      <c r="E38" s="1" t="s">
        <v>93</v>
      </c>
      <c r="F38" s="1">
        <v>39</v>
      </c>
    </row>
    <row r="39" spans="4:7" ht="15">
      <c r="E39" s="1" t="s">
        <v>94</v>
      </c>
      <c r="F39" s="1">
        <v>9</v>
      </c>
    </row>
    <row r="40" spans="4:7" ht="15">
      <c r="E40" s="1" t="s">
        <v>103</v>
      </c>
      <c r="F40" s="1">
        <v>96</v>
      </c>
    </row>
    <row r="41" spans="4:7" ht="15">
      <c r="E41" s="1" t="s">
        <v>97</v>
      </c>
      <c r="F41" s="1">
        <v>21</v>
      </c>
    </row>
    <row r="42" spans="4:7" ht="15">
      <c r="D42" s="1" t="s">
        <v>104</v>
      </c>
      <c r="G42" s="1" t="s">
        <v>81</v>
      </c>
    </row>
    <row r="43" spans="4:7" ht="15">
      <c r="E43" s="1" t="s">
        <v>19</v>
      </c>
      <c r="F43" s="1">
        <v>143</v>
      </c>
    </row>
    <row r="44" spans="4:7" ht="15">
      <c r="E44" s="1" t="s">
        <v>23</v>
      </c>
      <c r="F44" s="1">
        <v>2</v>
      </c>
    </row>
    <row r="45" spans="4:7" ht="15">
      <c r="E45" s="1" t="s">
        <v>105</v>
      </c>
      <c r="F45" s="1">
        <v>38</v>
      </c>
    </row>
    <row r="46" spans="4:7" ht="15">
      <c r="E46" s="1" t="s">
        <v>106</v>
      </c>
      <c r="F46" s="1">
        <v>2</v>
      </c>
    </row>
    <row r="47" spans="4:7" ht="15">
      <c r="E47" s="1" t="s">
        <v>107</v>
      </c>
      <c r="F47" s="1">
        <v>78</v>
      </c>
    </row>
    <row r="48" spans="4:7" ht="15">
      <c r="E48" s="1" t="s">
        <v>86</v>
      </c>
      <c r="F48" s="1">
        <v>155</v>
      </c>
    </row>
    <row r="49" spans="4:7" ht="15">
      <c r="E49" s="1" t="s">
        <v>87</v>
      </c>
      <c r="F49" s="1">
        <v>95</v>
      </c>
    </row>
    <row r="50" spans="4:7" ht="15">
      <c r="E50" s="1" t="s">
        <v>102</v>
      </c>
      <c r="F50" s="1">
        <v>174</v>
      </c>
    </row>
    <row r="51" spans="4:7" ht="15">
      <c r="E51" s="1" t="s">
        <v>108</v>
      </c>
      <c r="F51" s="1">
        <v>179</v>
      </c>
    </row>
    <row r="52" spans="4:7" ht="15">
      <c r="E52" s="1" t="s">
        <v>109</v>
      </c>
      <c r="F52" s="1">
        <v>33</v>
      </c>
    </row>
    <row r="53" spans="4:7" ht="15">
      <c r="E53" s="1" t="s">
        <v>88</v>
      </c>
      <c r="F53" s="1">
        <v>21</v>
      </c>
    </row>
    <row r="54" spans="4:7" ht="15">
      <c r="E54" s="1" t="s">
        <v>91</v>
      </c>
      <c r="F54" s="1">
        <v>25</v>
      </c>
    </row>
    <row r="55" spans="4:7" ht="15">
      <c r="E55" s="1" t="s">
        <v>93</v>
      </c>
      <c r="F55" s="1">
        <v>41</v>
      </c>
    </row>
    <row r="56" spans="4:7" ht="15">
      <c r="E56" s="1" t="s">
        <v>95</v>
      </c>
      <c r="F56" s="1">
        <v>210</v>
      </c>
    </row>
    <row r="57" spans="4:7" ht="15">
      <c r="E57" s="1" t="s">
        <v>94</v>
      </c>
      <c r="F57" s="1">
        <v>22</v>
      </c>
    </row>
    <row r="58" spans="4:7" ht="15">
      <c r="E58" s="1" t="s">
        <v>110</v>
      </c>
      <c r="F58" s="1">
        <v>20</v>
      </c>
    </row>
    <row r="59" spans="4:7" ht="15">
      <c r="E59" s="1" t="s">
        <v>111</v>
      </c>
      <c r="F59" s="1">
        <v>3</v>
      </c>
    </row>
    <row r="60" spans="4:7" ht="15">
      <c r="E60" s="1" t="s">
        <v>112</v>
      </c>
      <c r="F60" s="1">
        <v>44</v>
      </c>
    </row>
    <row r="61" spans="4:7" ht="15">
      <c r="D61" s="1" t="s">
        <v>113</v>
      </c>
      <c r="G61" s="1" t="s">
        <v>81</v>
      </c>
    </row>
    <row r="62" spans="4:7" ht="15">
      <c r="E62" s="1" t="s">
        <v>112</v>
      </c>
      <c r="F62" s="1">
        <v>26</v>
      </c>
    </row>
    <row r="63" spans="4:7" ht="15">
      <c r="E63" s="1" t="s">
        <v>23</v>
      </c>
      <c r="F63" s="1">
        <v>3</v>
      </c>
    </row>
    <row r="64" spans="4:7" ht="15">
      <c r="E64" s="1" t="s">
        <v>84</v>
      </c>
      <c r="F64" s="1">
        <v>2</v>
      </c>
    </row>
    <row r="65" spans="5:6" ht="15">
      <c r="E65" s="1" t="s">
        <v>111</v>
      </c>
      <c r="F65" s="1">
        <v>20</v>
      </c>
    </row>
    <row r="66" spans="5:6" ht="15">
      <c r="E66" s="1" t="s">
        <v>88</v>
      </c>
      <c r="F66" s="1">
        <v>13</v>
      </c>
    </row>
    <row r="67" spans="5:6" ht="15">
      <c r="E67" s="1" t="s">
        <v>114</v>
      </c>
      <c r="F67" s="1">
        <v>32</v>
      </c>
    </row>
    <row r="68" spans="5:6" ht="15">
      <c r="E68" s="1" t="s">
        <v>107</v>
      </c>
      <c r="F68" s="1">
        <v>25</v>
      </c>
    </row>
    <row r="69" spans="5:6" ht="15">
      <c r="E69" s="1" t="s">
        <v>102</v>
      </c>
      <c r="F69" s="1">
        <v>76</v>
      </c>
    </row>
    <row r="70" spans="5:6" ht="15">
      <c r="E70" s="1" t="s">
        <v>109</v>
      </c>
      <c r="F70" s="1">
        <v>27</v>
      </c>
    </row>
    <row r="71" spans="5:6" ht="15">
      <c r="E71" s="1" t="s">
        <v>115</v>
      </c>
      <c r="F71" s="1">
        <v>57</v>
      </c>
    </row>
    <row r="72" spans="5:6" ht="15">
      <c r="E72" s="1" t="s">
        <v>91</v>
      </c>
      <c r="F72" s="1">
        <v>20</v>
      </c>
    </row>
    <row r="73" spans="5:6" ht="15">
      <c r="E73" s="1" t="s">
        <v>86</v>
      </c>
      <c r="F73" s="1">
        <v>30</v>
      </c>
    </row>
    <row r="74" spans="5:6" ht="15">
      <c r="E74" s="1" t="s">
        <v>95</v>
      </c>
      <c r="F74" s="1">
        <v>108</v>
      </c>
    </row>
    <row r="75" spans="5:6" ht="15">
      <c r="E75" s="1" t="s">
        <v>93</v>
      </c>
      <c r="F75" s="1">
        <v>15</v>
      </c>
    </row>
    <row r="76" spans="5:6" ht="15">
      <c r="E76" s="1" t="s">
        <v>101</v>
      </c>
      <c r="F76" s="1">
        <v>79</v>
      </c>
    </row>
    <row r="77" spans="5:6" ht="15">
      <c r="E77" s="1" t="s">
        <v>110</v>
      </c>
      <c r="F77" s="1">
        <v>25</v>
      </c>
    </row>
    <row r="78" spans="5:6" ht="15">
      <c r="E78" s="1" t="s">
        <v>116</v>
      </c>
      <c r="F78" s="1">
        <v>8</v>
      </c>
    </row>
    <row r="79" spans="5:6" ht="15">
      <c r="E79" s="2" t="s">
        <v>19</v>
      </c>
      <c r="F79" s="2">
        <v>106</v>
      </c>
    </row>
  </sheetData>
  <pageMargins left="0.7" right="0.7" top="0.75" bottom="0.75" header="0.51180555555555496" footer="0.51180555555555496"/>
  <pageSetup paperSize="9" firstPageNumber="0" orientation="portrait" horizontalDpi="300" verticalDpi="300" r:id="rId1"/>
  <headerFooter>
    <oddHeader>&amp;C&amp;"Calibri"&amp;10&amp;K000000Confidential&amp;1#</oddHeader>
    <oddFooter>&amp;R&amp;1#&amp;"Calibri"&amp;10&amp;K000000Confidential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3D709AD559BB141B4B359C8C60C960A" ma:contentTypeVersion="2" ma:contentTypeDescription="Create a new document." ma:contentTypeScope="" ma:versionID="35da093a2e0298bf64deaedf3ec18e69">
  <xsd:schema xmlns:xsd="http://www.w3.org/2001/XMLSchema" xmlns:xs="http://www.w3.org/2001/XMLSchema" xmlns:p="http://schemas.microsoft.com/office/2006/metadata/properties" xmlns:ns2="e39d234a-e196-46ee-9d64-a932eaf0e966" targetNamespace="http://schemas.microsoft.com/office/2006/metadata/properties" ma:root="true" ma:fieldsID="c19c2c14e7ef52406ef1b83f48606542" ns2:_="">
    <xsd:import namespace="e39d234a-e196-46ee-9d64-a932eaf0e966"/>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39d234a-e196-46ee-9d64-a932eaf0e9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95996E9-055C-41C5-AE8E-5A50F2BD6D67}">
  <ds:schemaRefs>
    <ds:schemaRef ds:uri="http://schemas.microsoft.com/sharepoint/v3/contenttype/forms"/>
  </ds:schemaRefs>
</ds:datastoreItem>
</file>

<file path=customXml/itemProps2.xml><?xml version="1.0" encoding="utf-8"?>
<ds:datastoreItem xmlns:ds="http://schemas.openxmlformats.org/officeDocument/2006/customXml" ds:itemID="{37E48A45-0726-4328-AE85-6356490B31F3}">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BFE74989-0360-4AD9-8A88-0C18A34C4E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39d234a-e196-46ee-9d64-a932eaf0e9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Tender - Waste Monitoring</vt:lpstr>
      <vt:lpstr>Waste Monitoring - % Splits</vt:lpstr>
      <vt:lpstr>Waste Monitoring - Return Proje</vt:lpstr>
      <vt:lpstr>Tender - Recycling Proj</vt:lpstr>
      <vt:lpstr>Sheet2</vt:lpstr>
      <vt:lpstr>'Tender - Recycling Proj'!Print_Area</vt:lpstr>
      <vt:lpstr>'Tender - Waste Monitoring'!Print_Area</vt:lpstr>
      <vt:lpstr>'Waste Monitoring - % Splits'!Print_Area</vt:lpstr>
      <vt:lpstr>'Waste Monitoring - Return Proje'!Print_Area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Pranisha Ramchander</dc:creator>
  <cp:keywords/>
  <dc:description/>
  <cp:lastModifiedBy>Victoria Selepe</cp:lastModifiedBy>
  <cp:revision>10</cp:revision>
  <dcterms:created xsi:type="dcterms:W3CDTF">2016-02-11T08:21:48Z</dcterms:created>
  <dcterms:modified xsi:type="dcterms:W3CDTF">2022-07-28T07:02:41Z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SV_QUERY_LIST_4F35BF76-6C0D-4D9B-82B2-816C12CF3733">
    <vt:lpwstr>empty_477D106A-C0D6-4607-AEBD-E2C9D60EA279</vt:lpwstr>
  </property>
  <property fmtid="{D5CDD505-2E9C-101B-9397-08002B2CF9AE}" pid="9" name="SV_HIDDEN_GRID_QUERY_LIST_4F35BF76-6C0D-4D9B-82B2-816C12CF3733">
    <vt:lpwstr>empty_477D106A-C0D6-4607-AEBD-E2C9D60EA279</vt:lpwstr>
  </property>
  <property fmtid="{D5CDD505-2E9C-101B-9397-08002B2CF9AE}" pid="10" name="ContentTypeId">
    <vt:lpwstr>0x01010093D709AD559BB141B4B359C8C60C960A</vt:lpwstr>
  </property>
  <property fmtid="{D5CDD505-2E9C-101B-9397-08002B2CF9AE}" pid="11" name="MSIP_Label_a11864d1-c16a-45ad-949f-bdea3b8c9e66_Enabled">
    <vt:lpwstr>true</vt:lpwstr>
  </property>
  <property fmtid="{D5CDD505-2E9C-101B-9397-08002B2CF9AE}" pid="12" name="MSIP_Label_a11864d1-c16a-45ad-949f-bdea3b8c9e66_SetDate">
    <vt:lpwstr>2022-07-28T07:02:29Z</vt:lpwstr>
  </property>
  <property fmtid="{D5CDD505-2E9C-101B-9397-08002B2CF9AE}" pid="13" name="MSIP_Label_a11864d1-c16a-45ad-949f-bdea3b8c9e66_Method">
    <vt:lpwstr>Standard</vt:lpwstr>
  </property>
  <property fmtid="{D5CDD505-2E9C-101B-9397-08002B2CF9AE}" pid="14" name="MSIP_Label_a11864d1-c16a-45ad-949f-bdea3b8c9e66_Name">
    <vt:lpwstr>Confidential</vt:lpwstr>
  </property>
  <property fmtid="{D5CDD505-2E9C-101B-9397-08002B2CF9AE}" pid="15" name="MSIP_Label_a11864d1-c16a-45ad-949f-bdea3b8c9e66_SiteId">
    <vt:lpwstr>fb62d46e-e86e-4673-ba82-b27b61d8202b</vt:lpwstr>
  </property>
  <property fmtid="{D5CDD505-2E9C-101B-9397-08002B2CF9AE}" pid="16" name="MSIP_Label_a11864d1-c16a-45ad-949f-bdea3b8c9e66_ActionId">
    <vt:lpwstr>81be0813-8afc-4ae8-9b3d-400df4b10a12</vt:lpwstr>
  </property>
  <property fmtid="{D5CDD505-2E9C-101B-9397-08002B2CF9AE}" pid="17" name="MSIP_Label_a11864d1-c16a-45ad-949f-bdea3b8c9e66_ContentBits">
    <vt:lpwstr>3</vt:lpwstr>
  </property>
</Properties>
</file>