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mc:AlternateContent xmlns:mc="http://schemas.openxmlformats.org/markup-compatibility/2006">
    <mc:Choice Requires="x15">
      <x15ac:absPath xmlns:x15ac="http://schemas.microsoft.com/office/spreadsheetml/2010/11/ac" url="O:\Deltek Projects\D34843.00 - Kwandengezi WWTW\Civil\Tender Documents\Bill of Quantities\"/>
    </mc:Choice>
  </mc:AlternateContent>
  <xr:revisionPtr revIDLastSave="0" documentId="13_ncr:1_{3E8E4CE6-254A-4B1D-96BE-BC1F5DC90482}" xr6:coauthVersionLast="47" xr6:coauthVersionMax="47" xr10:uidLastSave="{00000000-0000-0000-0000-000000000000}"/>
  <bookViews>
    <workbookView xWindow="-135" yWindow="-135" windowWidth="29070" windowHeight="15750" activeTab="18" xr2:uid="{00000000-000D-0000-FFFF-FFFF00000000}"/>
  </bookViews>
  <sheets>
    <sheet name="A" sheetId="5" r:id="rId1"/>
    <sheet name="A-Sum" sheetId="27" r:id="rId2"/>
    <sheet name="B" sheetId="15" r:id="rId3"/>
    <sheet name="B-Sum" sheetId="28" r:id="rId4"/>
    <sheet name="C" sheetId="1" r:id="rId5"/>
    <sheet name="D" sheetId="10" r:id="rId6"/>
    <sheet name="E" sheetId="16" r:id="rId7"/>
    <sheet name="E-Sum" sheetId="30" r:id="rId8"/>
    <sheet name="F" sheetId="18" r:id="rId9"/>
    <sheet name="F-Sum" sheetId="31" r:id="rId10"/>
    <sheet name="G" sheetId="23" r:id="rId11"/>
    <sheet name="G-Sum" sheetId="32" r:id="rId12"/>
    <sheet name="H" sheetId="24" r:id="rId13"/>
    <sheet name="H-Sum" sheetId="33" r:id="rId14"/>
    <sheet name="I" sheetId="22" r:id="rId15"/>
    <sheet name="I-Sum" sheetId="34" r:id="rId16"/>
    <sheet name="J" sheetId="25" r:id="rId17"/>
    <sheet name="K" sheetId="26" r:id="rId18"/>
    <sheet name="SUMMARY" sheetId="8" r:id="rId19"/>
  </sheets>
  <definedNames>
    <definedName name="_xlnm.Print_Area" localSheetId="2">B!$A$1:$G$481</definedName>
    <definedName name="_xlnm.Print_Area" localSheetId="4">'C'!$A$1:$G$90</definedName>
    <definedName name="_xlnm.Print_Area" localSheetId="6">E!$A$1:$G$382</definedName>
    <definedName name="_xlnm.Print_Area" localSheetId="8">F!$A$1:$G$520</definedName>
    <definedName name="_xlnm.Print_Area" localSheetId="12">H!$A$1:$G$548</definedName>
    <definedName name="_xlnm.Print_Area" localSheetId="14">I!$A$1:$G$1148</definedName>
    <definedName name="_xlnm.Print_Area" localSheetId="16">J!$A$1:$G$227</definedName>
    <definedName name="_xlnm.Print_Area" localSheetId="17">K!$A$1:$G$177</definedName>
    <definedName name="_xlnm.Print_Titles" localSheetId="0">A!$1:$2</definedName>
    <definedName name="_xlnm.Print_Titles" localSheetId="2">B!$1:$2</definedName>
    <definedName name="_xlnm.Print_Titles" localSheetId="4">'C'!$1:$2</definedName>
    <definedName name="_xlnm.Print_Titles" localSheetId="5">D!$1:$2</definedName>
    <definedName name="_xlnm.Print_Titles" localSheetId="6">E!$1:$2</definedName>
    <definedName name="_xlnm.Print_Titles" localSheetId="8">F!$1:$2</definedName>
    <definedName name="_xlnm.Print_Titles" localSheetId="10">G!$1:$2</definedName>
    <definedName name="_xlnm.Print_Titles" localSheetId="12">H!$1:$2</definedName>
    <definedName name="_xlnm.Print_Titles" localSheetId="14">I!$1:$2</definedName>
    <definedName name="_xlnm.Print_Titles" localSheetId="16">J!$1:$2</definedName>
    <definedName name="_xlnm.Print_Titles" localSheetId="17">K!$1:$2</definedName>
    <definedName name="_xlnm.Print_Titles" localSheetId="18">SUMMARY!$1:$5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6" i="5" l="1"/>
  <c r="E251" i="23"/>
  <c r="E245" i="23"/>
  <c r="E239" i="23"/>
  <c r="E249" i="23"/>
  <c r="E243" i="23"/>
  <c r="E151" i="23" l="1"/>
  <c r="E153" i="23"/>
  <c r="E155" i="23"/>
  <c r="E149" i="23"/>
  <c r="E147" i="23"/>
  <c r="E190" i="23"/>
  <c r="E412" i="18" l="1"/>
  <c r="E105" i="16"/>
  <c r="E58" i="16"/>
  <c r="E57" i="1"/>
  <c r="E53" i="1"/>
  <c r="E62" i="16" l="1"/>
  <c r="E46" i="16"/>
  <c r="E416" i="15"/>
  <c r="E479" i="15"/>
  <c r="E471" i="15"/>
  <c r="E473" i="15"/>
  <c r="E467" i="15"/>
  <c r="E469" i="15"/>
  <c r="E6" i="26" l="1"/>
  <c r="E8" i="26" s="1"/>
  <c r="E18" i="26"/>
  <c r="E16" i="26"/>
  <c r="E34" i="26"/>
  <c r="E54" i="26"/>
  <c r="E44" i="26"/>
  <c r="E42" i="26"/>
  <c r="E26" i="26"/>
  <c r="E28" i="26"/>
  <c r="F190" i="5"/>
  <c r="G190" i="5" s="1"/>
  <c r="E463" i="15" l="1"/>
  <c r="E461" i="15"/>
  <c r="E459" i="15"/>
  <c r="E457" i="15"/>
  <c r="E448" i="15"/>
  <c r="E446" i="15"/>
  <c r="E442" i="15"/>
  <c r="E438" i="15"/>
  <c r="E436" i="15"/>
  <c r="E428" i="15"/>
  <c r="E432" i="15"/>
  <c r="E418" i="15"/>
  <c r="E426" i="15"/>
  <c r="E407" i="15"/>
  <c r="E405" i="15"/>
  <c r="E401" i="15"/>
  <c r="E383" i="15"/>
  <c r="E387" i="15" s="1"/>
  <c r="E393" i="15"/>
  <c r="E391" i="15"/>
  <c r="E453" i="15" l="1"/>
  <c r="E389" i="15"/>
  <c r="E381" i="15" l="1"/>
  <c r="E102" i="15" l="1"/>
  <c r="E68" i="15"/>
  <c r="E98" i="15" l="1"/>
  <c r="E90" i="15" l="1"/>
  <c r="E106" i="15"/>
  <c r="E345" i="15"/>
  <c r="E349" i="15"/>
  <c r="E351" i="15" s="1"/>
  <c r="E353" i="15" s="1"/>
  <c r="E357" i="15"/>
  <c r="E361" i="15" l="1"/>
  <c r="E206" i="16"/>
  <c r="E193" i="16"/>
  <c r="E189" i="16"/>
  <c r="E181" i="16"/>
  <c r="E265" i="15"/>
  <c r="E142" i="16"/>
  <c r="E134" i="16"/>
  <c r="E132" i="16"/>
  <c r="E126" i="16"/>
  <c r="E193" i="18"/>
  <c r="E80" i="18"/>
  <c r="E173" i="18"/>
  <c r="E175" i="18" l="1"/>
  <c r="E177" i="18"/>
  <c r="E162" i="18"/>
  <c r="E154" i="18"/>
  <c r="E150" i="18"/>
  <c r="E140" i="18"/>
  <c r="E78" i="18"/>
  <c r="E105" i="18"/>
  <c r="E119" i="18"/>
  <c r="E121" i="18"/>
  <c r="E86" i="18"/>
  <c r="E113" i="18"/>
  <c r="E103" i="18"/>
  <c r="E115" i="18"/>
  <c r="E109" i="18"/>
  <c r="E107" i="18"/>
  <c r="E99" i="18"/>
  <c r="E97" i="18"/>
  <c r="E111" i="18"/>
  <c r="E64" i="18"/>
  <c r="E62" i="18"/>
  <c r="E58" i="18"/>
  <c r="E74" i="18" l="1"/>
  <c r="E158" i="18"/>
  <c r="E60" i="18"/>
  <c r="E68" i="18"/>
  <c r="E52" i="18"/>
  <c r="E50" i="18" l="1"/>
  <c r="E24" i="18"/>
  <c r="E8" i="18"/>
  <c r="E10" i="18" s="1"/>
  <c r="E461" i="18"/>
  <c r="E459" i="18"/>
  <c r="E455" i="18"/>
  <c r="E453" i="18"/>
  <c r="E448" i="18"/>
  <c r="E442" i="18"/>
  <c r="E440" i="18"/>
  <c r="E418" i="18"/>
  <c r="E414" i="18"/>
  <c r="E398" i="18"/>
  <c r="E390" i="18"/>
  <c r="E380" i="18"/>
  <c r="E372" i="18"/>
  <c r="E374" i="18" s="1"/>
  <c r="E16" i="18" l="1"/>
  <c r="E22" i="18" s="1"/>
  <c r="E28" i="18"/>
  <c r="E20" i="18" l="1"/>
  <c r="E279" i="15" l="1"/>
  <c r="E275" i="15"/>
  <c r="E273" i="15"/>
  <c r="E248" i="15"/>
  <c r="E244" i="15"/>
  <c r="E242" i="15"/>
  <c r="E236" i="15"/>
  <c r="E226" i="15"/>
  <c r="E224" i="15"/>
  <c r="E218" i="15"/>
  <c r="E220" i="15" s="1"/>
  <c r="E469" i="24"/>
  <c r="E471" i="24"/>
  <c r="E465" i="24"/>
  <c r="E451" i="24"/>
  <c r="E461" i="24"/>
  <c r="E463" i="24"/>
  <c r="E453" i="24"/>
  <c r="E428" i="24"/>
  <c r="E432" i="24"/>
  <c r="E426" i="24"/>
  <c r="E420" i="24"/>
  <c r="E412" i="24"/>
  <c r="E408" i="24"/>
  <c r="E402" i="24"/>
  <c r="E213" i="18"/>
  <c r="E211" i="18"/>
  <c r="E201" i="18"/>
  <c r="E265" i="18"/>
  <c r="E255" i="18"/>
  <c r="E263" i="18"/>
  <c r="E253" i="18"/>
  <c r="E261" i="18"/>
  <c r="E233" i="18"/>
  <c r="E229" i="18"/>
  <c r="E227" i="18"/>
  <c r="E221" i="18"/>
  <c r="E329" i="24"/>
  <c r="E404" i="24" l="1"/>
  <c r="E203" i="18"/>
  <c r="E244" i="24"/>
  <c r="E359" i="24"/>
  <c r="E361" i="24" s="1"/>
  <c r="E355" i="24"/>
  <c r="E353" i="24"/>
  <c r="E343" i="24" s="1"/>
  <c r="E337" i="24"/>
  <c r="E325" i="24"/>
  <c r="E327" i="24"/>
  <c r="E319" i="24"/>
  <c r="E317" i="24"/>
  <c r="E313" i="24"/>
  <c r="E246" i="24"/>
  <c r="E199" i="24"/>
  <c r="E256" i="24"/>
  <c r="E254" i="24"/>
  <c r="E248" i="24"/>
  <c r="E191" i="24"/>
  <c r="E211" i="24"/>
  <c r="E207" i="24"/>
  <c r="E205" i="24"/>
  <c r="E242" i="24"/>
  <c r="E147" i="24"/>
  <c r="E145" i="24"/>
  <c r="E140" i="24"/>
  <c r="E153" i="24"/>
  <c r="E155" i="24" s="1"/>
  <c r="E149" i="24"/>
  <c r="E132" i="24"/>
  <c r="E104" i="24"/>
  <c r="E108" i="24"/>
  <c r="E116" i="24"/>
  <c r="E118" i="24"/>
  <c r="E223" i="24" l="1"/>
  <c r="E258" i="24"/>
  <c r="E130" i="24"/>
  <c r="E24" i="24"/>
  <c r="E36" i="24"/>
  <c r="E38" i="24"/>
  <c r="E42" i="24" s="1"/>
  <c r="E8" i="10"/>
  <c r="E138" i="15"/>
  <c r="E136" i="15"/>
  <c r="E38" i="1"/>
  <c r="E282" i="23"/>
  <c r="E280" i="23"/>
  <c r="E278" i="23"/>
  <c r="E12" i="24" l="1"/>
  <c r="E14" i="24" s="1"/>
  <c r="E52" i="24"/>
  <c r="E30" i="24"/>
  <c r="E54" i="24" l="1"/>
  <c r="E145" i="23"/>
  <c r="E56" i="24" l="1"/>
  <c r="E143" i="23"/>
  <c r="E233" i="23" s="1"/>
  <c r="E18" i="23"/>
  <c r="E103" i="23"/>
  <c r="E6" i="23" l="1"/>
  <c r="E58" i="24"/>
  <c r="E218" i="23"/>
  <c r="E14" i="23"/>
  <c r="E60" i="24" l="1"/>
  <c r="E90" i="23"/>
  <c r="E113" i="23"/>
  <c r="E58" i="23"/>
  <c r="E60" i="23"/>
  <c r="E8" i="23"/>
  <c r="E95" i="23" l="1"/>
  <c r="E88" i="23"/>
  <c r="E117" i="23"/>
  <c r="E64" i="23"/>
  <c r="E66" i="23"/>
  <c r="E119" i="23" l="1"/>
  <c r="E74" i="23"/>
  <c r="E72" i="23"/>
  <c r="E121" i="23" l="1"/>
  <c r="E12" i="1" l="1"/>
  <c r="O307" i="16"/>
  <c r="N308" i="16" s="1"/>
  <c r="O306" i="16"/>
  <c r="O305" i="16"/>
  <c r="O302" i="16"/>
  <c r="E249" i="16"/>
  <c r="E251" i="16"/>
  <c r="E245" i="16" l="1"/>
  <c r="E247" i="16"/>
  <c r="E226" i="16" l="1"/>
  <c r="E218" i="16"/>
  <c r="E216" i="16"/>
  <c r="E214" i="16"/>
  <c r="E212" i="16"/>
  <c r="E173" i="16"/>
  <c r="E197" i="16"/>
  <c r="E187" i="16"/>
  <c r="E167" i="16"/>
  <c r="E179" i="16"/>
  <c r="E183" i="16"/>
  <c r="E138" i="16"/>
  <c r="E144" i="16"/>
  <c r="E136" i="16"/>
  <c r="E124" i="16"/>
  <c r="E103" i="16"/>
  <c r="E101" i="16"/>
  <c r="E165" i="16" l="1"/>
  <c r="E83" i="16" l="1"/>
  <c r="E85" i="16"/>
  <c r="E100" i="15"/>
  <c r="E60" i="15"/>
  <c r="E64" i="15"/>
  <c r="E56" i="15"/>
  <c r="E58" i="15"/>
  <c r="E48" i="15"/>
  <c r="E132" i="15"/>
  <c r="E130" i="15" s="1"/>
  <c r="E50" i="15"/>
  <c r="E24" i="15"/>
  <c r="E12" i="15"/>
  <c r="E10" i="15" s="1"/>
  <c r="E30" i="15" l="1"/>
  <c r="E28" i="15"/>
  <c r="E114" i="15"/>
  <c r="E142" i="18"/>
  <c r="E144" i="18" s="1"/>
  <c r="E129" i="18"/>
  <c r="E131" i="18" s="1"/>
  <c r="E133" i="18" l="1"/>
  <c r="E146" i="18"/>
  <c r="E208" i="5" l="1"/>
  <c r="G202" i="5"/>
  <c r="E204" i="5" s="1"/>
  <c r="G198" i="5"/>
  <c r="E200" i="5" s="1"/>
  <c r="G194" i="5"/>
  <c r="E196" i="5" s="1"/>
  <c r="G186" i="5"/>
  <c r="E188" i="5" s="1"/>
  <c r="F182" i="5"/>
  <c r="G182" i="5" s="1"/>
  <c r="E184" i="5" s="1"/>
  <c r="F178" i="5"/>
  <c r="G178" i="5" s="1"/>
  <c r="E180" i="5" s="1"/>
</calcChain>
</file>

<file path=xl/sharedStrings.xml><?xml version="1.0" encoding="utf-8"?>
<sst xmlns="http://schemas.openxmlformats.org/spreadsheetml/2006/main" count="4796" uniqueCount="2397">
  <si>
    <t>DESCRIPTION</t>
  </si>
  <si>
    <t>UNIT</t>
  </si>
  <si>
    <t>RATE</t>
  </si>
  <si>
    <t>SANS 1200 L</t>
  </si>
  <si>
    <t>MEDIUM PRESSURE PIPELINES</t>
  </si>
  <si>
    <t>8.2.1</t>
  </si>
  <si>
    <t>m</t>
  </si>
  <si>
    <t>8.2.2</t>
  </si>
  <si>
    <t>No.</t>
  </si>
  <si>
    <t>EARTHWORKS</t>
  </si>
  <si>
    <t>8.3.5</t>
  </si>
  <si>
    <t>8.3.2</t>
  </si>
  <si>
    <t>8.2.11</t>
  </si>
  <si>
    <t>8.2.5</t>
  </si>
  <si>
    <t>SANS 1200 C</t>
  </si>
  <si>
    <t>8.2.7</t>
  </si>
  <si>
    <t>8.3.4</t>
  </si>
  <si>
    <t>Particular Items</t>
  </si>
  <si>
    <t>8.3.3</t>
  </si>
  <si>
    <t>Make up deficiency in backfill material</t>
  </si>
  <si>
    <t>km</t>
  </si>
  <si>
    <t>PAYMENT</t>
  </si>
  <si>
    <t>QTY</t>
  </si>
  <si>
    <t>SANS 1200 A</t>
  </si>
  <si>
    <t>PRELIMINARY AND GENERAL</t>
  </si>
  <si>
    <t xml:space="preserve">SCHEDULED FIXED - CHARGE AND VALUE-RELATED ITEMS </t>
  </si>
  <si>
    <t>8.3.1</t>
  </si>
  <si>
    <t>Contractual Requirements</t>
  </si>
  <si>
    <t>Sum</t>
  </si>
  <si>
    <t xml:space="preserve"> </t>
  </si>
  <si>
    <t>Establishment of facilities on the site</t>
  </si>
  <si>
    <t>8.3.2.1</t>
  </si>
  <si>
    <t>PSA 8.3.2.1 a)</t>
  </si>
  <si>
    <t>b) Telephone</t>
  </si>
  <si>
    <t>PSA 8.3.2.1 c)</t>
  </si>
  <si>
    <t>8.3.2.2</t>
  </si>
  <si>
    <t>Facilities required by Contractor</t>
  </si>
  <si>
    <t>a) Offices &amp; Storage Sheds</t>
  </si>
  <si>
    <t>c) Laboratories</t>
  </si>
  <si>
    <t>d) Living Accommodation</t>
  </si>
  <si>
    <t>e) Ablution &amp; Latrine facilities</t>
  </si>
  <si>
    <t>f) Tools &amp; Equipment</t>
  </si>
  <si>
    <t>g) Water Supplies, Electric Power &amp; Communications</t>
  </si>
  <si>
    <t>h) Dealing with Water</t>
  </si>
  <si>
    <t>i) Access</t>
  </si>
  <si>
    <t>j) Plant</t>
  </si>
  <si>
    <t>Removal of site establishment</t>
  </si>
  <si>
    <t xml:space="preserve">Compliance with the OHS Act  (1993, as amended) and the Construction Regulations (2014) </t>
  </si>
  <si>
    <t>Compliance with Environmental Management Programme</t>
  </si>
  <si>
    <t xml:space="preserve">8.3.3 </t>
  </si>
  <si>
    <t>TIME-RELATED ITEMS</t>
  </si>
  <si>
    <t>8.4.1</t>
  </si>
  <si>
    <t>8.4.2</t>
  </si>
  <si>
    <t xml:space="preserve">Operation and Maintenance of Facilities on Site, for Duration of Construction, except where otherwise stated </t>
  </si>
  <si>
    <t>8.4.2.1</t>
  </si>
  <si>
    <t xml:space="preserve">8.4.2.2 </t>
  </si>
  <si>
    <t xml:space="preserve">8.4.3 </t>
  </si>
  <si>
    <t>Supervision for the Duration of Construction</t>
  </si>
  <si>
    <t>8.4.4</t>
  </si>
  <si>
    <t>Company &amp; Head Office Overhead Costs for the Duration of the Contract</t>
  </si>
  <si>
    <t>Setting out of works</t>
  </si>
  <si>
    <t>8.4.5</t>
  </si>
  <si>
    <t>SUMS STATED PROVISIONALLY BY ENGINEER</t>
  </si>
  <si>
    <t>Allowance for payment to Community Liaison Officer (CLO)</t>
  </si>
  <si>
    <t>Prov. Sum</t>
  </si>
  <si>
    <t>%</t>
  </si>
  <si>
    <t>Allowance for Payment to Environmental Control Officer (ECO)</t>
  </si>
  <si>
    <t>Allowance for relocation of existing services</t>
  </si>
  <si>
    <t>TEMPORARY WORKS</t>
  </si>
  <si>
    <t xml:space="preserve">PSA 8.8.2 </t>
  </si>
  <si>
    <t>DAYWORKS</t>
  </si>
  <si>
    <t>Hr</t>
  </si>
  <si>
    <t>Light Delivery Vehicle (1 Ton)</t>
  </si>
  <si>
    <t>Labour</t>
  </si>
  <si>
    <t>Unskilled Labourers</t>
  </si>
  <si>
    <t>SCHEDULE A: PRELIMINARY AND GENERAL</t>
  </si>
  <si>
    <t>Flatbed Truck (capacity ± 5 Ton)</t>
  </si>
  <si>
    <t>AMOUNT</t>
  </si>
  <si>
    <t>Construct and maintain main access roads to works</t>
  </si>
  <si>
    <t>Facilities for Engineer</t>
  </si>
  <si>
    <t>c) Nameboards (2 No.)</t>
  </si>
  <si>
    <t>Compliance with Environmental Management Programme (EMPr)</t>
  </si>
  <si>
    <t>Accomodation of Traffic</t>
  </si>
  <si>
    <t>PSD 8.3.4</t>
  </si>
  <si>
    <t>SCHEDULE</t>
  </si>
  <si>
    <t>TOTAL CARRIED FORWARD TO FORM OF OFFER</t>
  </si>
  <si>
    <t>Sub Total</t>
  </si>
  <si>
    <r>
      <t>m</t>
    </r>
    <r>
      <rPr>
        <vertAlign val="superscript"/>
        <sz val="9"/>
        <color theme="1"/>
        <rFont val="Arial"/>
        <family val="2"/>
      </rPr>
      <t>2</t>
    </r>
  </si>
  <si>
    <r>
      <t>m</t>
    </r>
    <r>
      <rPr>
        <vertAlign val="superscript"/>
        <sz val="9"/>
        <color theme="1"/>
        <rFont val="Arial"/>
        <family val="2"/>
      </rPr>
      <t>3</t>
    </r>
  </si>
  <si>
    <t>Add 15% Value Added Tax</t>
  </si>
  <si>
    <r>
      <t>Compressor - 7m</t>
    </r>
    <r>
      <rPr>
        <vertAlign val="superscript"/>
        <sz val="9"/>
        <rFont val="Arial"/>
        <family val="2"/>
      </rPr>
      <t>3</t>
    </r>
    <r>
      <rPr>
        <sz val="9"/>
        <rFont val="Arial"/>
        <family val="2"/>
      </rPr>
      <t>/min</t>
    </r>
  </si>
  <si>
    <t>ITEM</t>
  </si>
  <si>
    <t>t</t>
  </si>
  <si>
    <t>CONCRETE STRUCTURAL</t>
  </si>
  <si>
    <t>8.4.3</t>
  </si>
  <si>
    <t xml:space="preserve">Preliminary and General </t>
  </si>
  <si>
    <t>A.1</t>
  </si>
  <si>
    <t>A.1.1</t>
  </si>
  <si>
    <t>A.1.3</t>
  </si>
  <si>
    <t>A.1.6</t>
  </si>
  <si>
    <t>A.1.9</t>
  </si>
  <si>
    <t>A.1.10</t>
  </si>
  <si>
    <t>A.1.11</t>
  </si>
  <si>
    <t>A.1.12</t>
  </si>
  <si>
    <t>A.1.14</t>
  </si>
  <si>
    <t>A.1.15</t>
  </si>
  <si>
    <t>A.1.16</t>
  </si>
  <si>
    <t>A.1.17</t>
  </si>
  <si>
    <t>A.2</t>
  </si>
  <si>
    <t>A.2.1</t>
  </si>
  <si>
    <t>A.2.3</t>
  </si>
  <si>
    <t>A.2.5</t>
  </si>
  <si>
    <t>A.2.8</t>
  </si>
  <si>
    <t>A.2.9</t>
  </si>
  <si>
    <t>A.2.10</t>
  </si>
  <si>
    <t>A.2.11</t>
  </si>
  <si>
    <t>A.2.13</t>
  </si>
  <si>
    <t>A.2.14</t>
  </si>
  <si>
    <t>A.2.15</t>
  </si>
  <si>
    <t>A.2.16</t>
  </si>
  <si>
    <t>A.3</t>
  </si>
  <si>
    <t>A.3.1</t>
  </si>
  <si>
    <t>A.3.2</t>
  </si>
  <si>
    <t>A.3.3</t>
  </si>
  <si>
    <t>A.3.4</t>
  </si>
  <si>
    <t>A.3.5</t>
  </si>
  <si>
    <t>A.3.6</t>
  </si>
  <si>
    <t>A.3.9</t>
  </si>
  <si>
    <t>A.3.10</t>
  </si>
  <si>
    <t>A.4</t>
  </si>
  <si>
    <t>A.5</t>
  </si>
  <si>
    <t>A.5.1</t>
  </si>
  <si>
    <t>A.5.2</t>
  </si>
  <si>
    <t>B.1</t>
  </si>
  <si>
    <t>B.3</t>
  </si>
  <si>
    <t>E.1</t>
  </si>
  <si>
    <t>E.2</t>
  </si>
  <si>
    <t>A</t>
  </si>
  <si>
    <t>C</t>
  </si>
  <si>
    <t>D</t>
  </si>
  <si>
    <t>E</t>
  </si>
  <si>
    <t xml:space="preserve">AMOUNT     </t>
  </si>
  <si>
    <t>Overheads and profit on item A.3.5</t>
  </si>
  <si>
    <t>Overheads and profit on item A.3.3</t>
  </si>
  <si>
    <t>Overheads and profit on item A.3.9</t>
  </si>
  <si>
    <t>Overheads and profit on item A.3.1</t>
  </si>
  <si>
    <t>8.2.6</t>
  </si>
  <si>
    <t>SCHEDULE OF QUANTITIES SUMMARY</t>
  </si>
  <si>
    <t>SANS 1200 G</t>
  </si>
  <si>
    <t>Formwork</t>
  </si>
  <si>
    <t>Smooth Formwork</t>
  </si>
  <si>
    <t>Reinforcement</t>
  </si>
  <si>
    <t>Concrete</t>
  </si>
  <si>
    <t>PSG 8.10</t>
  </si>
  <si>
    <t>Welding Machine, 400 A</t>
  </si>
  <si>
    <t>hr</t>
  </si>
  <si>
    <t>8.3.3.1</t>
  </si>
  <si>
    <t>Rough Formwork:</t>
  </si>
  <si>
    <t>Unformed Surface Finishes</t>
  </si>
  <si>
    <t>8.3.5.a)</t>
  </si>
  <si>
    <t>Services that intersect a trench</t>
  </si>
  <si>
    <t>8.3.4.a)</t>
  </si>
  <si>
    <t>8.3.5.b)</t>
  </si>
  <si>
    <t>PSC 8.2.12</t>
  </si>
  <si>
    <t>Remove and Reinstate Weldmesh Fences of Maximum Height = 1.8 m</t>
  </si>
  <si>
    <t>CARRIED FORWARD:</t>
  </si>
  <si>
    <t>BROUGHT FORWARD:</t>
  </si>
  <si>
    <t>Services that adjoin a trench</t>
  </si>
  <si>
    <t>PSLB 8.2.1</t>
  </si>
  <si>
    <t>PSLB 8.2.2</t>
  </si>
  <si>
    <t>PSLB 8.2.2.2</t>
  </si>
  <si>
    <t>Excavation Ancillaries</t>
  </si>
  <si>
    <t>Supply, erect, bind, handle and take down:</t>
  </si>
  <si>
    <t>F</t>
  </si>
  <si>
    <t>G</t>
  </si>
  <si>
    <t>Vertical To:</t>
  </si>
  <si>
    <t>Horizontal To:</t>
  </si>
  <si>
    <t>High Tensile Steel Bars</t>
  </si>
  <si>
    <t>Strength Concrete</t>
  </si>
  <si>
    <t>H.1</t>
  </si>
  <si>
    <t>H.2</t>
  </si>
  <si>
    <t xml:space="preserve">Other Time Related Obligations (List below) </t>
  </si>
  <si>
    <t xml:space="preserve">Other Fixed Charge Obligations (List below) </t>
  </si>
  <si>
    <t>…...............................................................................</t>
  </si>
  <si>
    <t>PS.8.3</t>
  </si>
  <si>
    <t>PS.7.3</t>
  </si>
  <si>
    <t>A.1.14.1</t>
  </si>
  <si>
    <t>A.1.14.2</t>
  </si>
  <si>
    <t>A.1.14.3</t>
  </si>
  <si>
    <t>Site Security</t>
  </si>
  <si>
    <t>TOTAL SCHEDULE A.1 CARRIED FORWARD TO SUMMARY</t>
  </si>
  <si>
    <t>A.2.15.1</t>
  </si>
  <si>
    <t>A.2.15.2</t>
  </si>
  <si>
    <t>C.1.2.3.1</t>
  </si>
  <si>
    <t>PS.10.3</t>
  </si>
  <si>
    <t>A.3.13</t>
  </si>
  <si>
    <t>A.3.14</t>
  </si>
  <si>
    <t>Overheads and profit on item A.3.13</t>
  </si>
  <si>
    <t>A.3.15</t>
  </si>
  <si>
    <t>A.3.16</t>
  </si>
  <si>
    <t>Overheads and profit on item A.3.15</t>
  </si>
  <si>
    <t>TOTAL SCHEDULE A.2 CARRIED FORWARD TO SUMMARY</t>
  </si>
  <si>
    <t>8.8.4.c)</t>
  </si>
  <si>
    <t>TOTAL SCHEDULE A.5 CARRIED FORWARD TO SUMMARY</t>
  </si>
  <si>
    <t>SITE CLEARANCE (MISCELLANEOUS)</t>
  </si>
  <si>
    <t>8.2.4</t>
  </si>
  <si>
    <t xml:space="preserve">a) Furnished Office (Air-Conditioned) </t>
  </si>
  <si>
    <t xml:space="preserve">a) Furnished Office (Air Conditioned) </t>
  </si>
  <si>
    <t>8.2.3</t>
  </si>
  <si>
    <t>A.1.23</t>
  </si>
  <si>
    <t>Provision of 3 No. copies keys required to open all manholes, gates and doors</t>
  </si>
  <si>
    <t>TOTAL SCHEDULE A.3 CARRIED FORWARD TO SUMMARY</t>
  </si>
  <si>
    <t>TOTAL SCHEDULE A.4 CARRIED FORWARD TO SUMMARY</t>
  </si>
  <si>
    <t>G.1</t>
  </si>
  <si>
    <t>Survey for &amp; preparation of "As-Built" Drawings</t>
  </si>
  <si>
    <t>Existing Services</t>
  </si>
  <si>
    <t>H.1.1</t>
  </si>
  <si>
    <t>Bulldozer and Ripper (D6 or similar)</t>
  </si>
  <si>
    <t>7.5 kVA Portable Diesel Generator</t>
  </si>
  <si>
    <t>TLB (50 kW Case 580 or similar)</t>
  </si>
  <si>
    <r>
      <t>18m</t>
    </r>
    <r>
      <rPr>
        <vertAlign val="superscript"/>
        <sz val="9"/>
        <rFont val="Arial"/>
        <family val="2"/>
      </rPr>
      <t>3</t>
    </r>
    <r>
      <rPr>
        <sz val="9"/>
        <rFont val="Arial"/>
        <family val="2"/>
      </rPr>
      <t xml:space="preserve"> Capacity Water Tanker</t>
    </r>
  </si>
  <si>
    <t>Pedestrian vibrating roller (76)</t>
  </si>
  <si>
    <t>Plate compactor</t>
  </si>
  <si>
    <t>3 kW Submersible Pump &amp; Hose</t>
  </si>
  <si>
    <r>
      <t>10m</t>
    </r>
    <r>
      <rPr>
        <vertAlign val="superscript"/>
        <sz val="9"/>
        <rFont val="Arial"/>
        <family val="2"/>
      </rPr>
      <t>3</t>
    </r>
    <r>
      <rPr>
        <sz val="9"/>
        <rFont val="Arial"/>
        <family val="2"/>
      </rPr>
      <t xml:space="preserve"> Capacity Tipper Truck</t>
    </r>
  </si>
  <si>
    <t>Artisan (Skilled Labourers)</t>
  </si>
  <si>
    <t>Foremen</t>
  </si>
  <si>
    <t>Coded Welder</t>
  </si>
  <si>
    <t>Operators and Drivers</t>
  </si>
  <si>
    <t>Allowance for additional Testing performed by independent laboratory as required by Engineer</t>
  </si>
  <si>
    <t>G.2</t>
  </si>
  <si>
    <t>Identification of, and appointment of suitable CPG Contractors</t>
  </si>
  <si>
    <t>A.2.17</t>
  </si>
  <si>
    <t>Supervision and training of CPG Contractors throughout the duration of construction</t>
  </si>
  <si>
    <t>Sloping To:</t>
  </si>
  <si>
    <t>PSG 8.2.7</t>
  </si>
  <si>
    <t>A.1.19</t>
  </si>
  <si>
    <t>A.1.20</t>
  </si>
  <si>
    <t>A.1.22</t>
  </si>
  <si>
    <t>I</t>
  </si>
  <si>
    <t>I.1</t>
  </si>
  <si>
    <t>SITE CLEARANCE</t>
  </si>
  <si>
    <t>PSC 8.2.11</t>
  </si>
  <si>
    <t>Clear, lift, load and dispose of materials (including broken pipework, skips, brickwork, concrete, manholes etc.) in the erosion gulley at existing inlet works at approved dump site.</t>
  </si>
  <si>
    <t>SANS 1200 D</t>
  </si>
  <si>
    <t>SEWERS</t>
  </si>
  <si>
    <t>a) Selected granular material</t>
  </si>
  <si>
    <t>B.4</t>
  </si>
  <si>
    <t>Allowance for additional site survey</t>
  </si>
  <si>
    <t>PS.11</t>
  </si>
  <si>
    <t>PC Sum</t>
  </si>
  <si>
    <t>Allowance for the design, supply, installation and commissioning of mechanical and electrical infrastructure required for the WWTW Upgrade</t>
  </si>
  <si>
    <t>PS.9.8</t>
  </si>
  <si>
    <t>Unforeseen ancillary Infrastructure</t>
  </si>
  <si>
    <t>A.3.11</t>
  </si>
  <si>
    <t>A.3.12</t>
  </si>
  <si>
    <t>Allowance for the inspection, structural repairs and/or waterproofing of the sludge digestor</t>
  </si>
  <si>
    <t>Overheads and profit on item A.3.11</t>
  </si>
  <si>
    <t>A.3.7</t>
  </si>
  <si>
    <t>A.3.8</t>
  </si>
  <si>
    <t>Overheads and profit on item A.3.7</t>
  </si>
  <si>
    <t>PSA 8.8.1</t>
  </si>
  <si>
    <t>Excavation by hand in soft material to expose underground services, backfill and compact in layers no greater than 300mm to 90% MOD AASHTO</t>
  </si>
  <si>
    <t>Unblocking of Existing Sewer Manholes</t>
  </si>
  <si>
    <t>SANS  1200 LD</t>
  </si>
  <si>
    <t>a) 19mm Crushed stone for water logged trench bottom</t>
  </si>
  <si>
    <t>Provision of Stone Bedding:</t>
  </si>
  <si>
    <t>PSLB 8.2.6</t>
  </si>
  <si>
    <t>b) Selected fill material</t>
  </si>
  <si>
    <t>From Commerical  Sources:</t>
  </si>
  <si>
    <t>Supply only of bedding by importation (note: all importation of bedding material, regardless of source or distance, shall be regarded as freehaul)</t>
  </si>
  <si>
    <t>BEDDING : PIPES</t>
  </si>
  <si>
    <t>SANS  1200 LB</t>
  </si>
  <si>
    <t>m²</t>
  </si>
  <si>
    <t>Medium grouted pitching of 300mm thickness and main stone size of 150mm as smallest dimension</t>
  </si>
  <si>
    <t>Geotextile (A4 Kaytech or similar approved)</t>
  </si>
  <si>
    <t>2.0m x 1.0m 0.3m reno mattress</t>
  </si>
  <si>
    <t>4.0m x 1.0m x 1.0m gabion basket</t>
  </si>
  <si>
    <t>3.0m x 1.0m x 1.0m gabion basket</t>
  </si>
  <si>
    <t>2.0m x 1.0m x 1.0m gabion basket</t>
  </si>
  <si>
    <t>1.0m x 1.0m x 1.0m gabion basket</t>
  </si>
  <si>
    <t>PVC coated (0.5mm thickness) Class A hexagonal mesh gabion boxes with rock fill (commercial stones), (Gabion 80 x 100) mesh aperture (mattresses 60 x 80) for the following sizes:</t>
  </si>
  <si>
    <t>a) Cavities filled with approved excavated material of rock</t>
  </si>
  <si>
    <t>GABIONS AND PITCHING</t>
  </si>
  <si>
    <t>SANS  1200 DK</t>
  </si>
  <si>
    <t xml:space="preserve">Supply and lay 'Cynodon Dactylon' grassing (including fertilizer, watering and full maintenance) </t>
  </si>
  <si>
    <t>PS.22</t>
  </si>
  <si>
    <t>Topsoiling from stockpile to a thickness of 100mm</t>
  </si>
  <si>
    <t>8.3.6</t>
  </si>
  <si>
    <t>Import G8 material from commercial sources and compact to 90% MOD AASTHO</t>
  </si>
  <si>
    <t>2) Hard rock excavation</t>
  </si>
  <si>
    <t>1) Intermediate excavation</t>
  </si>
  <si>
    <t>Clear and Grub of storm damaged areas</t>
  </si>
  <si>
    <t>I.5.1</t>
  </si>
  <si>
    <t>Conduct manhole watertightness test</t>
  </si>
  <si>
    <t>PSLD 8.2.16</t>
  </si>
  <si>
    <t xml:space="preserve">Over 2.0m and not exceeding 2.5m deep </t>
  </si>
  <si>
    <t xml:space="preserve">Over 1.5m and not exceeding 2.0m deep </t>
  </si>
  <si>
    <t xml:space="preserve">Over 0m and not exceeding 1.5m deep </t>
  </si>
  <si>
    <t>Supply, lay, joint, bed and test the following pipes</t>
  </si>
  <si>
    <t>Provision of bedding from trench excavation, regardless of distance (Provisional):</t>
  </si>
  <si>
    <t>c) By importation of G8 material from commercial sources and compaction to 93% Mod AASHTO.</t>
  </si>
  <si>
    <t>c) Excavate and dispose of unsuitable material from trench bottom</t>
  </si>
  <si>
    <t>3) Boulder Excavation</t>
  </si>
  <si>
    <t>1) Intermediate Excavation</t>
  </si>
  <si>
    <t>Over 2m and not exceeding 3.0m</t>
  </si>
  <si>
    <t>Over 1m and not exceeding 2.0m</t>
  </si>
  <si>
    <t>Over 0m and not exceeding 1.0m</t>
  </si>
  <si>
    <t xml:space="preserve">EARTHWORKS FOR PIPE TRENCHES </t>
  </si>
  <si>
    <t>I.4.1</t>
  </si>
  <si>
    <t>50mm Thick Sa - S14 Asphalt Wearing Course compacted o 93% MTRD</t>
  </si>
  <si>
    <t>8.5.4</t>
  </si>
  <si>
    <r>
      <t>Tack Coat of 60%  stable grade emulsion ( Application rate 0.3L/m</t>
    </r>
    <r>
      <rPr>
        <vertAlign val="superscript"/>
        <sz val="9"/>
        <rFont val="Arial"/>
        <family val="2"/>
      </rPr>
      <t>2</t>
    </r>
  </si>
  <si>
    <t>8.5.1</t>
  </si>
  <si>
    <t xml:space="preserve"> ASPHALT SURFACING</t>
  </si>
  <si>
    <t>SANS 1200 MH</t>
  </si>
  <si>
    <t xml:space="preserve">Construct base with material from commercial sources </t>
  </si>
  <si>
    <t xml:space="preserve"> BASE</t>
  </si>
  <si>
    <t>SANS 1200 MF</t>
  </si>
  <si>
    <t>I.3.11.1</t>
  </si>
  <si>
    <t>SUBBASE</t>
  </si>
  <si>
    <t>SANS  1200 ME</t>
  </si>
  <si>
    <t>PSLE 8.2.14</t>
  </si>
  <si>
    <t>Supply and Install Manholes, Catchpits and the Likes</t>
  </si>
  <si>
    <t>8.2.8</t>
  </si>
  <si>
    <t>a) Straight cut</t>
  </si>
  <si>
    <t>STORMWATER DRAINAGE</t>
  </si>
  <si>
    <t>SANS  1200 LE</t>
  </si>
  <si>
    <t>No</t>
  </si>
  <si>
    <t>Heavy Duty</t>
  </si>
  <si>
    <t>Light Duty</t>
  </si>
  <si>
    <t>160mm ND solid wall uPVC pipe</t>
  </si>
  <si>
    <t>Break and connect into existing manhole for new connection, deal with live sewer flow and make good all benching:</t>
  </si>
  <si>
    <t xml:space="preserve">Connections into manholes including benching, all associated works and making good upon completion </t>
  </si>
  <si>
    <t>Over 1m and not exceeding 2m</t>
  </si>
  <si>
    <t>Erf Connections</t>
  </si>
  <si>
    <t>Heavy duty concrete manhole cover and frame</t>
  </si>
  <si>
    <t>Type 'B' benching</t>
  </si>
  <si>
    <t>Over 1.5m and not exceeding 2.0m</t>
  </si>
  <si>
    <t>Over 1m and not exceeding 1.5m</t>
  </si>
  <si>
    <t>Over 2.5m and not exceeding 3.0m deep in road reserves and servitudes</t>
  </si>
  <si>
    <t>Over 2.0m and not exceeding 2.5m deep in road reserves and servitudes</t>
  </si>
  <si>
    <t>Over 1.5m and not exceeding 2.0m deep in road reserves and servitudes</t>
  </si>
  <si>
    <t>b) Steel Float Finish</t>
  </si>
  <si>
    <t>a) Wood Float finish</t>
  </si>
  <si>
    <t>Unformed surface finishes</t>
  </si>
  <si>
    <t>30MPa/19mm Concrete for footings, columns and walls</t>
  </si>
  <si>
    <t xml:space="preserve">25MPa/19mm Concrete for  footings, column bases, plinths, wash and cover slabs </t>
  </si>
  <si>
    <t>50mm Blinding Layer 15 MPa/19mm</t>
  </si>
  <si>
    <t>High  Tensile steel bars</t>
  </si>
  <si>
    <t>Construct Selected layer G8 from commercial sources, 150mm thick compacted to 90% Mod. AASHTO maximum density</t>
  </si>
  <si>
    <t>Construct Selected layer G7 from commercial sources, 150mm thick compacted to 95% Mod. AASHTO maximum density</t>
  </si>
  <si>
    <t xml:space="preserve">Gravel Surface Layer </t>
  </si>
  <si>
    <t>8.3.16</t>
  </si>
  <si>
    <t xml:space="preserve">b) Supply and lay 'Cynodon Dactylon' grassing (including fertilizer, watering and full maintenance) </t>
  </si>
  <si>
    <t>a) Topsoiling from stockpiled material to a thickness of 100mm</t>
  </si>
  <si>
    <t>Surface Finishing</t>
  </si>
  <si>
    <t>8.3.13</t>
  </si>
  <si>
    <t>a) Soft Excavation</t>
  </si>
  <si>
    <t>Cut to Spoil From:</t>
  </si>
  <si>
    <t>8.3.7</t>
  </si>
  <si>
    <t>EARTHWORKS ( ROADS, SUBGRADE)</t>
  </si>
  <si>
    <t>SANS  1200 DM</t>
  </si>
  <si>
    <t>HDPe / PVC Water Pipelines (Up to &amp; incl. 110 Ø)</t>
  </si>
  <si>
    <t>Concrete Stormwater Pipelines (Up to &amp; incl. 525 Ø)</t>
  </si>
  <si>
    <t>Removal and Dispoal of Existing concrete ring manhole cover and frame</t>
  </si>
  <si>
    <t>b) 1-2m  Depth</t>
  </si>
  <si>
    <t>a) 0-1m depth</t>
  </si>
  <si>
    <t>Removal  and disposal of Concrete Rings manhole inclusive of manhole Covers and Frames for the following depth categories :</t>
  </si>
  <si>
    <t>b) Over 2m and up to and including 3m</t>
  </si>
  <si>
    <t>a) Over 1m and up to and including 2m</t>
  </si>
  <si>
    <t>ha</t>
  </si>
  <si>
    <t>I.3.1</t>
  </si>
  <si>
    <t xml:space="preserve">Over 3.0 and not exceeding 3.5m deep </t>
  </si>
  <si>
    <t>Over 0m and not exceeding 1.5m deep</t>
  </si>
  <si>
    <t>I.2.1</t>
  </si>
  <si>
    <t>Reflector Plates</t>
  </si>
  <si>
    <t>a) End Wings</t>
  </si>
  <si>
    <t>End units</t>
  </si>
  <si>
    <t>a) Galvanised</t>
  </si>
  <si>
    <t>ANCILLARY ROAD WORKS</t>
  </si>
  <si>
    <t>SANS 1200 MM</t>
  </si>
  <si>
    <t>Extra Over Item G8.1 for cutting end units for culverts on site</t>
  </si>
  <si>
    <t xml:space="preserve">Over 2.5m and not exceeding 3.0m deep </t>
  </si>
  <si>
    <t>Over 1.5m and not exceeding 2.0m deep</t>
  </si>
  <si>
    <t>Over 2.0m and not exceeding 3.0m</t>
  </si>
  <si>
    <t>SANS  1200 DB</t>
  </si>
  <si>
    <t>Clear and Grub of storm damaged area</t>
  </si>
  <si>
    <t xml:space="preserve">SITE CLEARANCE </t>
  </si>
  <si>
    <t>I.1.1</t>
  </si>
  <si>
    <t>H.3</t>
  </si>
  <si>
    <t>SODIUM HYPOCHLORITE GENERATION FACILITY</t>
  </si>
  <si>
    <t>Clear and Grub Site for Sodium Hypochlorite Generation Facility</t>
  </si>
  <si>
    <t>Clear and Grub Site for Inlet Works</t>
  </si>
  <si>
    <t>PSC 8.2.10</t>
  </si>
  <si>
    <t xml:space="preserve">Removal of topsoil to nominal depth of 150mm, stockpile, maintain, reinstate or spread on site in designated areas </t>
  </si>
  <si>
    <t>2) Hard Rock Excavation</t>
  </si>
  <si>
    <t>G5 Material to 95% MOD AASHTO</t>
  </si>
  <si>
    <t>PSD 8.3.7</t>
  </si>
  <si>
    <t>Sides of Vortex Degritter Walkway</t>
  </si>
  <si>
    <t>Inlet Works Base Slab Steps</t>
  </si>
  <si>
    <t>Underside of Degrittor Walkway</t>
  </si>
  <si>
    <t>Vortex Degrittor Internal Walls</t>
  </si>
  <si>
    <t>Box-Out Holes / Form Voids</t>
  </si>
  <si>
    <t xml:space="preserve">c) For DN350 S/S Inlet Puddle Pipe in 250mm thick RC Wall </t>
  </si>
  <si>
    <t xml:space="preserve">a) For DN300 S/S Inlet Puddle Pipe in 250mm thick RC Wall </t>
  </si>
  <si>
    <t>Supply, Handle, Bend, Cut and Fix:</t>
  </si>
  <si>
    <t>Supply, mix, place, compact and test:</t>
  </si>
  <si>
    <t>Class 20/19 MPa mass concrete layer beneath foundations</t>
  </si>
  <si>
    <t>Joints</t>
  </si>
  <si>
    <t>Supply &amp; Install self-adhesive swellable waterstop (Kuniseal C31-DS by Xypex or similar approved)</t>
  </si>
  <si>
    <t>Apply Wet-to-dry epoxy (Epidermix 345 or similar approved) to surface of the joint</t>
  </si>
  <si>
    <t>Supply and Place Pipes, Valves and Specials (Short Pipe Runs)</t>
  </si>
  <si>
    <t>Note the following:</t>
  </si>
  <si>
    <t>(c) Nominal Pressure Rating = 16 bar</t>
  </si>
  <si>
    <t>Item 1 - DN350 Universal Flange Adaptor</t>
  </si>
  <si>
    <t>Item 3 - DN200 x 90 deg Medium Radius Stainless Steel Gr 304 Bend Flanged Both Ends (R = 405mm, C/F = 405mm)</t>
  </si>
  <si>
    <t>Item 2 - DN350 x 500mm Long Stainless Steel Gr 304 Puddle Pipe Flanged One End</t>
  </si>
  <si>
    <t>Item 4 - DN200 Buttwelded HDPe Stub with S/S Backing Flange</t>
  </si>
  <si>
    <t>Item 5 - DN300 x 500mm Long Stainless Steel Gr 304 Puddle Pipe Flanged one end</t>
  </si>
  <si>
    <t>Item 6 - DN300 Flange Adaptor</t>
  </si>
  <si>
    <t>Item 7 - DN200 x 1800mm Long (nominal) Stainless Steel Gr 304 Pipe flanged both ends cut to suit site conditions</t>
  </si>
  <si>
    <t>CONCRETE (STRUCTURAL)</t>
  </si>
  <si>
    <t>B.2</t>
  </si>
  <si>
    <t>a) Wood-finish to top of walls and degritter walkways</t>
  </si>
  <si>
    <t>b) Steel-floated finish to top of all base slabs</t>
  </si>
  <si>
    <t>Removal of asphalt surfacing of nominal 50mm thickness from existing access road</t>
  </si>
  <si>
    <t>Removal of precast concrete kerbing</t>
  </si>
  <si>
    <t>SCHEDULE B: NEW INLET WORKS (CIVIL/STRUCTURAL)</t>
  </si>
  <si>
    <t>Demolish, handle and dispose of existing inlet works after the commissioning of the new inlet works</t>
  </si>
  <si>
    <t>SANS 1200 LD</t>
  </si>
  <si>
    <t>SCHEDULE C: PRIMARY SETTLING TANK REPAIRS &amp; ALTERATIONS</t>
  </si>
  <si>
    <t>PS.XX</t>
  </si>
  <si>
    <t>REPAIRS &amp; ALTERATIONS TO EXISTING PRIMARY SETTLING TANK</t>
  </si>
  <si>
    <t>Break Out Existing Coping Blocks and dispose in approved dump site</t>
  </si>
  <si>
    <t>SCHEDULE D: REPAIRS TO BIOLOGICAL FILTER AND DOSING SIPHON</t>
  </si>
  <si>
    <t>SCHEDULE E: REPAIRS &amp; ALTERATIONS TO SLUDGE DIGESTER</t>
  </si>
  <si>
    <t>Class 15/19 MPa Concrete Blinding Layer Beneath Foundations</t>
  </si>
  <si>
    <t>BYPASS ISOLATION VALVE</t>
  </si>
  <si>
    <t>H.2.1</t>
  </si>
  <si>
    <t>Chamber Walls</t>
  </si>
  <si>
    <t>Chamber Roof Slab</t>
  </si>
  <si>
    <t>Underside of Chamber Roof Slab</t>
  </si>
  <si>
    <t>a) Small, circular, of diameter up to and including 0.35m, up to and including 0.5m deep for:</t>
  </si>
  <si>
    <t>Mesh Ref. 395 (minimum 300mm overlap between panels)</t>
  </si>
  <si>
    <t>Class 15/19 MPa Concrete Blinding Layer Beneath Chamber base slab</t>
  </si>
  <si>
    <t>Class 30/19 MPa Concrete for Base Slab, Walls and Roof Slab</t>
  </si>
  <si>
    <t>a) Wood-Floated Finish to top of walls and roof slab</t>
  </si>
  <si>
    <t>Joints:</t>
  </si>
  <si>
    <t>2No. Layers of 3-ply malthoid between top of walls and underside of roof slab</t>
  </si>
  <si>
    <t>Sundry Items:</t>
  </si>
  <si>
    <t>Supply and Install 600 x 600mm Medium Duty Polymer Manhole Cover and Frame (Maverick Trading or similar approved)</t>
  </si>
  <si>
    <t>Supply, install and paint type 5B belltobie manhole covers</t>
  </si>
  <si>
    <t>Grouting of box-out in chlorine contact chamber wall</t>
  </si>
  <si>
    <t>(a) All stainless steel pipework to Gr 304 and to have minimum wall thickness of 6mm</t>
  </si>
  <si>
    <t>Item 1 - DN300 x 2000mm Long (nominal) Gr 304 Stainless Steel Pipe with plain ends and cut to suit site conditions</t>
  </si>
  <si>
    <t>Item 2 - DN300 Flexible Step Coupling for Stainless Steel Pipes</t>
  </si>
  <si>
    <t>Item 3 - DN300 x 1200mm Long Gr 304 Stainless Steel Puddle Pipe Flanged One End</t>
  </si>
  <si>
    <t>Item 4 - DN300 Flanged Gr 304 Stainless Steel Equal Tee (C/F = 460mm)</t>
  </si>
  <si>
    <t>Item 5 - DN300 Flanged Metal-seated Wedge Gate Valve with Cap-Top</t>
  </si>
  <si>
    <t>Item 6 - DN300 Flange Adaptor for Stainless Steel Pipe</t>
  </si>
  <si>
    <t>G.3</t>
  </si>
  <si>
    <t>…......................................................................</t>
  </si>
  <si>
    <t>A.2.15.3</t>
  </si>
  <si>
    <t>A.2.18</t>
  </si>
  <si>
    <t>Principal Contractor's supervision, facilitation, management and handling of Specialist Mechanical and Electrical Contractor for the duration of the Contract.</t>
  </si>
  <si>
    <t>C1.2.3.8.4.b)</t>
  </si>
  <si>
    <t>C1.2.3.8.4.a)</t>
  </si>
  <si>
    <t>Contractor's cost for identification of, sourcing and appointment of a specialist Mechanical and Electrical Sub-Contractor</t>
  </si>
  <si>
    <t>PS.14.1</t>
  </si>
  <si>
    <t>PS.14.3</t>
  </si>
  <si>
    <t>PS.10.5</t>
  </si>
  <si>
    <t>PS.9.7</t>
  </si>
  <si>
    <t>Sump and Chamber Walls</t>
  </si>
  <si>
    <t>Underside of Sump and Chamber Roof Slab</t>
  </si>
  <si>
    <r>
      <t>d) Large, other than circular, of area over 0.1m</t>
    </r>
    <r>
      <rPr>
        <i/>
        <vertAlign val="superscript"/>
        <sz val="9"/>
        <color theme="1"/>
        <rFont val="Arial"/>
        <family val="2"/>
      </rPr>
      <t>2</t>
    </r>
    <r>
      <rPr>
        <i/>
        <sz val="9"/>
        <color theme="1"/>
        <rFont val="Arial"/>
        <family val="2"/>
      </rPr>
      <t xml:space="preserve"> and up to and including 1.0 m</t>
    </r>
    <r>
      <rPr>
        <i/>
        <vertAlign val="superscript"/>
        <sz val="9"/>
        <color theme="1"/>
        <rFont val="Arial"/>
        <family val="2"/>
      </rPr>
      <t>2</t>
    </r>
  </si>
  <si>
    <t>PSG 8.2.6</t>
  </si>
  <si>
    <t>PSG 8.3.2</t>
  </si>
  <si>
    <t>d) 600 x 600 opening for manhole cover</t>
  </si>
  <si>
    <t>Self-Adhesive Swellable Water Stop for base-to-wall joint (Kuniseal D31-DS by Xypex or similar approved)</t>
  </si>
  <si>
    <t>Grouting of box-out through brickwork wall with approved 50 MPa Non-shrink grout</t>
  </si>
  <si>
    <t>Item 1 - DN150 x 1200mm Long Gr 304 Stainless Steel Pipe flanged one end with half puddle welded around</t>
  </si>
  <si>
    <t>Item 2 - DN150 Flanged Metal-seated wedge gate valve with cap-top</t>
  </si>
  <si>
    <t>Item 3 - DN150 Flange Adaptor</t>
  </si>
  <si>
    <t>Item 4 - DN150 x 1200mm Long Gr 304 Stainless Steel puddle pipe with plain ends</t>
  </si>
  <si>
    <t>Item 6 - DN100 x 1100mm Long Gr 304 Stainless Steel pipe flanged both ends</t>
  </si>
  <si>
    <t>Item 7 - DN100 x 90 deg Medium Radius Gr 304 Stainless Steel Bend flanged both ends with C/F = 280mm and R = 200mm</t>
  </si>
  <si>
    <t>Item 8 - DN100 x 800mm Long Gr 304 Stainless Steel puddle pipe flanged one end</t>
  </si>
  <si>
    <t>Item 9 - DN100 Flange Adaptor</t>
  </si>
  <si>
    <t>Item 10 - DN100 Epoxy-coated cast iron swing check valve with lever arm and counterweight</t>
  </si>
  <si>
    <t>Item 11 - DN100 Flanged Metal-seated wedge gate valve with cap-top</t>
  </si>
  <si>
    <t>Item 12 - DN100 x 900mm Long Gr 304 Stainless Steel puddle pipe flanged both ends</t>
  </si>
  <si>
    <t>Item 13 - DN110 Buttwelded HDPe Stub with Stainless Steel Backing Flange</t>
  </si>
  <si>
    <t>PSL 8.2.14</t>
  </si>
  <si>
    <t>Break out 500 x 500mm hole in existing 230mm thick chlorine contact tank wall for new scour pipe</t>
  </si>
  <si>
    <t>Clear and Grub for chlorine contact tank scour sump and chamber</t>
  </si>
  <si>
    <t>Remove 150mm thick (nominal) layer of topsoil, reinstate or spread on site in designated areas</t>
  </si>
  <si>
    <t>a) Restricted Excavation in all materials for inlet works foundations up to a maximum depth of 3.0 m below ground level, use for embankment, spread on site in designated areas or backfill</t>
  </si>
  <si>
    <t>Demolish, transport and dispose of existing concrete slab in proximity to new facility</t>
  </si>
  <si>
    <t>Clear and Grub Site for Bypass Isolation Valve Chamber</t>
  </si>
  <si>
    <t>PSC.8.2.7</t>
  </si>
  <si>
    <t>Dismantle and remove existing DN300 Asbestos Cement (Class C) pipeline</t>
  </si>
  <si>
    <t>Break out 600 x 600mm hole in existing 230mm thick chlorine contact tank wall for new scour pipe</t>
  </si>
  <si>
    <t>RC Pad Foundations</t>
  </si>
  <si>
    <t>RC Stub Columns and Ground Beams</t>
  </si>
  <si>
    <t>Surface Bed Panels</t>
  </si>
  <si>
    <t>Apron Slab Panels</t>
  </si>
  <si>
    <t>Supply and install 200mm thick "Rib and Block" Slab complete with mild steel lattice girders in accordance with supplier recommendations</t>
  </si>
  <si>
    <t>High Tensile Welded Mesh (with minimum 300mm overlap between panels):</t>
  </si>
  <si>
    <t>Mesh Ref .245</t>
  </si>
  <si>
    <t>Mesh Ref .395</t>
  </si>
  <si>
    <t xml:space="preserve">40 x 3mm thick initial saw-cut not later than 2 days of casting </t>
  </si>
  <si>
    <t>20 x 8 mm thick reaming out of saw-cut 21 days after casting</t>
  </si>
  <si>
    <t>10mm Ø Bond-Breaking Cord ("Duracord" by ABE or similar approved)</t>
  </si>
  <si>
    <t>Plug 10 x 8 mm void with approved polysulphide joint sealant ("Sikaflex" by Sika or similar approved)</t>
  </si>
  <si>
    <t>30 x 20 mm Key Joint Between Panels</t>
  </si>
  <si>
    <t>100 x 10 mm Thick Polyethylene Joint Former ("Jointex" by Sondor or similar approved) with hinged 10 x 10 mm temporary blocking piece</t>
  </si>
  <si>
    <t>350 x 10 mm Thick Polyethylene Joint Former ("Jointex" by Sondor or similar approved) with hinged 10 x 10 mm temporary blocking piece</t>
  </si>
  <si>
    <t>250 x 10 mm Thick Polyethylene Joint Former ("Jointex" by Sondor or similar approved) with hinged 10 x 10 mm temporary blocking piece</t>
  </si>
  <si>
    <t>150 x 10 mm Thick Polyethylene Joint Former ("Jointex" by Sondor or similar approved) with hinged 10 x 10 mm temporary blocking piece</t>
  </si>
  <si>
    <t>Plug 10 x 10 mm void with approved polysulphide joint sealant ("Sikaflex" by Sika or similar approved)</t>
  </si>
  <si>
    <t>Slip Joints:</t>
  </si>
  <si>
    <t>2No. Layers of 3-ply malthoid in 230mm thick brickwork wall for roller shutter doors</t>
  </si>
  <si>
    <t>2No. Layers of 3-ply malthoid in 110mm thick brickwork upstand on roof slab</t>
  </si>
  <si>
    <t>Screed (3:1 sand:cement) of thickness between 100mm and 20mm on roof slab and bunded area within facility</t>
  </si>
  <si>
    <t>Strength Concrete:</t>
  </si>
  <si>
    <t>Class 20/19 MPa Concrete for:</t>
  </si>
  <si>
    <t>Mass concrete Layer Beneath RC Pad Foundations</t>
  </si>
  <si>
    <t>Mass concrete for brickwork infills</t>
  </si>
  <si>
    <t>Class 25/19 MPa Concrete for:</t>
  </si>
  <si>
    <t>RC Beams for Roller Shutter Doors</t>
  </si>
  <si>
    <t>RC Surface Beds</t>
  </si>
  <si>
    <t>RC Apron Slabs</t>
  </si>
  <si>
    <t>RC Pump and JoJo Tank Plinths</t>
  </si>
  <si>
    <t>Inlet Works Walls</t>
  </si>
  <si>
    <t>d) 250 x 80 Recesses for Channel Sluice Gate (Length Varies from 950mm to 1350mm)</t>
  </si>
  <si>
    <t>b) 80 x 50mm Recesses for Hand-Stops  (Length Varies from 800mm to 1000mm)</t>
  </si>
  <si>
    <t>TOTAL SCHEDULE B.1 CARRIED FORWARD TO SUMMARY:</t>
  </si>
  <si>
    <t>Allow for temporary works during digester rehabilitation activities, including for all plant, labour and equipment for a period of 3 months.
Note: 25% of tendered rate payable upon set up of temporary system, and 75% of rate payable upon completion of activities.</t>
  </si>
  <si>
    <t>Coring Out of Openings in Digester walls with water cutting:</t>
  </si>
  <si>
    <t>500 x 500 x 375mm thick Opening for New Constant Level Weir Outlet</t>
  </si>
  <si>
    <t>500 x 500 x 375mm thick opening for new supernatant decant pipework</t>
  </si>
  <si>
    <t>1000 x 1000 x 375mm thick opening for new access and for new jet-mixing pumps</t>
  </si>
  <si>
    <t>Clearing Out of Sludge from digester and safe disposal through approved means in sludge drying beds</t>
  </si>
  <si>
    <t>Provision of Seed Sludge from Mpumalanga WWTW, including for all transport, equipment and labour required</t>
  </si>
  <si>
    <t>E.1.1</t>
  </si>
  <si>
    <t>E.1.2</t>
  </si>
  <si>
    <t>E.1.3</t>
  </si>
  <si>
    <t>E.1.4</t>
  </si>
  <si>
    <t>E.1.5</t>
  </si>
  <si>
    <t>NEW DIGESTER PIPEWORK AND ASSOCIATED INFRASTRUCTURE</t>
  </si>
  <si>
    <t>E.2.1</t>
  </si>
  <si>
    <t>PSC 8.2.7</t>
  </si>
  <si>
    <t>DN150 Asbestos Cement Class C Pipework Including for Bends, Specials, Flanges, Couplings etc. within the digester</t>
  </si>
  <si>
    <t>Dismantle and remove pipework and valves and dispose in approved dump site:</t>
  </si>
  <si>
    <t>DN100 Flanged Supernatant Decanting Gate Valves</t>
  </si>
  <si>
    <t>DN200 Flanged Gate Valves in Sludge Digester Outlet Chamber</t>
  </si>
  <si>
    <t>DN100 Asbestos Cement Class C Pipework Including for Bends, Specials, Flanges, Couplings etc. within the digester</t>
  </si>
  <si>
    <t>DN200 Asbestos Cement Class C Pipework Including for Bends, Specials, Flanges, Couplings etc. within the digester</t>
  </si>
  <si>
    <t>E.2.2</t>
  </si>
  <si>
    <t>Clear and Grub Site New Supernatant Sump and jet mixing pump house</t>
  </si>
  <si>
    <t>Excavate in all materials for new supernatant decanting sump and jet mixing pump kiosk strip foundations, use for embankment, spread on site in designated areas or backfill and compact to 90% MOD AASTO in layers no greater than 300mm thickness.</t>
  </si>
  <si>
    <t>Import, Spread and Compact G5 Material to 95% MOD AASHTO, regardless of source</t>
  </si>
  <si>
    <t>PSD 8.3.14</t>
  </si>
  <si>
    <t>Rip, re-compact and test in-situ material to 93% MOD AASHTO</t>
  </si>
  <si>
    <t>Supernatant Sump Base Slab</t>
  </si>
  <si>
    <t>Underside of Mixing Pump House Roof Slab</t>
  </si>
  <si>
    <t>RC Surface Bed Panels for Mixing Pump House</t>
  </si>
  <si>
    <t>Mesh Ref .395 (minimum 300mm overlap between panels</t>
  </si>
  <si>
    <t>Class 30/19 MPa Concrete for:</t>
  </si>
  <si>
    <t>RC Supernatant Sump Base, Walls and Roof Slab</t>
  </si>
  <si>
    <t>RC Roof Slab for Jet Mixing Pump House</t>
  </si>
  <si>
    <t>Unformed Surface Finishes:</t>
  </si>
  <si>
    <t>Class 20/19 MPa Concrete for benching in supernatant sump</t>
  </si>
  <si>
    <t>c) Power-Floated Finish to Jet Mixing Pump House Surface Bed</t>
  </si>
  <si>
    <t>8.5</t>
  </si>
  <si>
    <t>Self-adhesive swellable waterstop (Kuniseal C31-DS by Xypex or similar approved) for base-to-wall joint in supernatant concrete sump</t>
  </si>
  <si>
    <t>Class 15/19 MPa Concrete Blinding Layer Beneath Foundations, Base Slab, surface beds and apron slabs</t>
  </si>
  <si>
    <t>200 x 10 mm Thick Polyethylene Joint Former ("Jointex" by Sondor or similar approved) with hinged 10 x 10 mm temporary blocking piece</t>
  </si>
  <si>
    <t>230mm Thick Double-Skin Load-Bearing NFX Clay Foundation Brickwork with 14 MPa Compressive Strength Jointed in Class II Mortar. Rate to include for "Brickseal" and Brickforce every third course.</t>
  </si>
  <si>
    <t>230mm Thick Double-Skin Load-Bearing Clay Facebrick with 14 MPa Compressive Strength Jointed in Class II Mortar. Rate to include for "Brickseal" and Brickforce every third course.</t>
  </si>
  <si>
    <t>250 micron "Gunplas" DPC Layer beneath surface beds and apron slabs. Soil poisoning beneath where applicable.</t>
  </si>
  <si>
    <t>150 x 230mm thick air bricks</t>
  </si>
  <si>
    <t>Building Works:</t>
  </si>
  <si>
    <t>2000 high x 940mm wide Galvanised Steel Security Door with 500 x 500 Louvre at bottom of door (Trox Technic or similar approved)</t>
  </si>
  <si>
    <t>DN100 epoxy-coated cast iron/ductile iron full bore outlet cast into surface bed and roof slab with 90 degree outlet (Saint-Gobain or similar approved)</t>
  </si>
  <si>
    <t>DN110 uPVC pipe for downpipes and buried stormwater outlet complete with all bends and junctons</t>
  </si>
  <si>
    <t>Jet Mixing Pump House Structure:</t>
  </si>
  <si>
    <t>Supply and Install 1200 x 1200 mm FRP Grate with 28 x 51mm mesh size complete with G.M.S Frame cast into slab with fishtail lugs welded on at 200mm C/C and secured with type M clips</t>
  </si>
  <si>
    <t>Item 1 - DN150 x 1000mm Long Stainless Gr 304 Plain Ended Pipe Welded as shown</t>
  </si>
  <si>
    <t>Item 3 - DN150 Flanged Metal-Seated Wedge Gate Valve with Hand-Wheel</t>
  </si>
  <si>
    <t>Item 4 - DN150 x 800mm Long Stainless Steel Gr 304 Stainless Steel Puddle Pipe flanged both ends</t>
  </si>
  <si>
    <t>Item 5 - DN150 x 1600mm Long Stainless steel Gr 304 pipe (plain ends) welded to bellmouth and bend and shown</t>
  </si>
  <si>
    <t>Item 6 - DN300 x DN150 Stainless Steel Gr 304 Bellmouth Welded to pipework as shown</t>
  </si>
  <si>
    <t>Item 7 - DN150 x 2200mm Long Stainless steel Gr 304 pipe (plain ends) welded to bellmouth and bend and shown</t>
  </si>
  <si>
    <t>Item 8 - DN150 x 2800mm Long Stainless steel Gr 304 pipe (plain ends) welded to bellmouth and bend and shown</t>
  </si>
  <si>
    <t>Item 9 - DN150 x 6000mm Long Stainless Steel Gr 304 pipe flanged one end</t>
  </si>
  <si>
    <t>Item 10 - DN150 x 90 deg Stainless Steel Gr 304 Medium Radius Bend (R = 300mm) flanged both ends</t>
  </si>
  <si>
    <t>Item 2 - DN150 x 90 deg Stainless Steel Gr 304 Medium Radius Bend (R = 300mm) with flanged one end</t>
  </si>
  <si>
    <t>Item 11 - DN150 x 500mm Long Stainless Steel Gr 304 Puddle Pipe flanged one end</t>
  </si>
  <si>
    <t>Item 12 - DN150 Flexible Step Coupling (Viking-Johnson or similar approved)</t>
  </si>
  <si>
    <t xml:space="preserve">Item 13 - DN150 x 10 000 mm Long (nominal and cut to suit on site) Stainless Steel Gr 304 pipe with plain ends </t>
  </si>
  <si>
    <t>Item 14 - DN200 Flanged Metal-seated Wedge Gate Valve with 1700 mm Long Extension Spindle and Hand-Wheel</t>
  </si>
  <si>
    <t>DN50  </t>
  </si>
  <si>
    <t xml:space="preserve">DN80 </t>
  </si>
  <si>
    <t xml:space="preserve">DN90 </t>
  </si>
  <si>
    <t xml:space="preserve">DN100 </t>
  </si>
  <si>
    <t>DN150</t>
  </si>
  <si>
    <t>CLEARING OUT OF SLUDGE DIGESTER AND ASSOCIATED WORKS</t>
  </si>
  <si>
    <t>TOTAL CARRIED FORWARD:</t>
  </si>
  <si>
    <t>TOTAL BROUGHT FORWARD:</t>
  </si>
  <si>
    <t>Tie-In to existing 1000mm diameter precast concrete ring manhole upstream of bypass isolation valve</t>
  </si>
  <si>
    <t>TOTAL SCHEDULE C CARRIED FORWARD TO SUMMARY</t>
  </si>
  <si>
    <t>Allow for temporary works during primary settling tank rehabilitation activities, including for all plant, labour and equipment for a period of 3-weeks.
Note: 25% of tendered rate payable upon set up of temporary system, and 75% of rate payable upon completion of activities.</t>
  </si>
  <si>
    <t>TOTAL SCHEDULE D CARRIED FORWARD TO SUMMARY</t>
  </si>
  <si>
    <t>Clear Out Sludge from Primary Settling Tank</t>
  </si>
  <si>
    <t>SCHEDULE F: UPGRADES TO DISINFECTION FACILITIES</t>
  </si>
  <si>
    <t>SCHEDULE H: REPAIRS, ALTERATIONS AND UPGRADES TO EMERGENCY OVERFLOW PONDS</t>
  </si>
  <si>
    <t>REHABILITATION OF OVERFLOW PONDS</t>
  </si>
  <si>
    <t>WWTW Pipelines and Manholes</t>
  </si>
  <si>
    <t>G.4</t>
  </si>
  <si>
    <t>G.5</t>
  </si>
  <si>
    <t>SCHEDULE G: WWTW PIPELINES AND MANHOLES</t>
  </si>
  <si>
    <t>Clear and Grub for pipe trenches (2m width)</t>
  </si>
  <si>
    <t>Breaking Out of Reinforced Concrete Walkways, Apron Slabs etc.</t>
  </si>
  <si>
    <t>DN150 Asbestos Cement Pipelines</t>
  </si>
  <si>
    <t>Removal of asphalt surfacing of nominal 50mm thickness from existing access road with diamond saw</t>
  </si>
  <si>
    <t>SANS 1200 DB</t>
  </si>
  <si>
    <t>EARTHWORKS (PIPE TRENCHES)</t>
  </si>
  <si>
    <t>PSDB 8.3.2</t>
  </si>
  <si>
    <t>Over 0.0 m but not exceeding 1.5 m</t>
  </si>
  <si>
    <t>Over 1.5 m but not exceeding 3.0 m</t>
  </si>
  <si>
    <t>2) Hard Rock Material (provisional)</t>
  </si>
  <si>
    <t>1) Intermediate Material (provisional)</t>
  </si>
  <si>
    <t>Excavation:</t>
  </si>
  <si>
    <t>Excavation Ancilliaries:</t>
  </si>
  <si>
    <t>Make up deficiency in backfill material (Provisional):</t>
  </si>
  <si>
    <t>a) From other necessary excavations on site</t>
  </si>
  <si>
    <t>b) By importation from designated borrow pits</t>
  </si>
  <si>
    <t>c) By importation from commercial or off-site sources selected by the Contractor</t>
  </si>
  <si>
    <t>Existing Services that intersect or adjoin a pipe trench:</t>
  </si>
  <si>
    <t>a) Services that intersect a trench</t>
  </si>
  <si>
    <t>PSD 8.3.5</t>
  </si>
  <si>
    <t>b) Services that adjoin a trench</t>
  </si>
  <si>
    <t>Finishings:</t>
  </si>
  <si>
    <t>8.3.6.1</t>
  </si>
  <si>
    <t>c) Reinstate Asphalt of 50mm thickness in roadways</t>
  </si>
  <si>
    <t>Import, spread, compact and test G2 material to 98% MOD AASHTO from commercial sources</t>
  </si>
  <si>
    <t>Import, spread, compact and test G5 material to 95% MOD AASHTO from commercial sources</t>
  </si>
  <si>
    <t>Particular Items:</t>
  </si>
  <si>
    <t>a) Shore Trench Opposite a structure or service for the following depth categories (provisional):</t>
  </si>
  <si>
    <t>Over 0.0 m and less than 3.0 m depth</t>
  </si>
  <si>
    <t>Over 0.0 m and less than 1.5 m depth</t>
  </si>
  <si>
    <t>c) Road Crossings:</t>
  </si>
  <si>
    <t>Supply only of Portland Cement (Stabilising Agent)</t>
  </si>
  <si>
    <t>kg</t>
  </si>
  <si>
    <t>Supply only of suitable G8 material for soilcrete layers from other scheduled excavations, borrow-pits or commercial / off site sources</t>
  </si>
  <si>
    <t>Mixing, Spreading and compaction of soilcrete mixture to 93% MOD AASTO in maximum 150mm thick layers</t>
  </si>
  <si>
    <t>Supply of PVC Cable Ducts for Pipe Sleeves:</t>
  </si>
  <si>
    <t>DN315</t>
  </si>
  <si>
    <t>DN200</t>
  </si>
  <si>
    <t>DN160</t>
  </si>
  <si>
    <t>DN250</t>
  </si>
  <si>
    <t>d) Road Crossings:</t>
  </si>
  <si>
    <t>Import, spread, compact and test G7 material to 93% MOD AASHTO from borrow-pits or commercial sources</t>
  </si>
  <si>
    <t>PSL 8.2.1</t>
  </si>
  <si>
    <t>Supply, Lay, Bed, Test and Disinfect Pipes complete with couplings:</t>
  </si>
  <si>
    <t>G.3.1</t>
  </si>
  <si>
    <t>DN200 Buttwelded HDPe Pipe (PN10) to SANS ISO 4427</t>
  </si>
  <si>
    <t>DN160 Buttwelded HDPe Pipe (PN10) to SANS ISO 4427</t>
  </si>
  <si>
    <t>DN32 HDPe Compression Male Adaptor</t>
  </si>
  <si>
    <t xml:space="preserve">Extra Over Item G.3.1 for the supplying, laying and bedding of specials C/W couplings (PN16): </t>
  </si>
  <si>
    <t>Fully Moulded Long-Radius HDPe Bends Suitable for Buttwelding:</t>
  </si>
  <si>
    <t>DN200 x 90 deg</t>
  </si>
  <si>
    <t>DN200 x 45 deg</t>
  </si>
  <si>
    <t>DN160 x 90 deg</t>
  </si>
  <si>
    <t>DN160 x 45 deg</t>
  </si>
  <si>
    <t>DN110 x 90 deg</t>
  </si>
  <si>
    <t>DN110 x 45 deg</t>
  </si>
  <si>
    <t>G.3.1.1</t>
  </si>
  <si>
    <t>G.3.1.2</t>
  </si>
  <si>
    <t>G.3.1.3</t>
  </si>
  <si>
    <t>G.3.1.4</t>
  </si>
  <si>
    <t>G.3.1.5</t>
  </si>
  <si>
    <t>G.3.2</t>
  </si>
  <si>
    <t>G.3.2.1</t>
  </si>
  <si>
    <t>G.3.2.2</t>
  </si>
  <si>
    <t>G.3.2.3</t>
  </si>
  <si>
    <t>G.3.2.4</t>
  </si>
  <si>
    <t>G.3.2.5</t>
  </si>
  <si>
    <t>G.3.2.6</t>
  </si>
  <si>
    <t>G.3.2.7</t>
  </si>
  <si>
    <t>G.3.2.8</t>
  </si>
  <si>
    <t>G.3.2.9</t>
  </si>
  <si>
    <t>Long-Radius HDPe Mitre-type Special Bends suitable for buttwelding in the following angle categories:</t>
  </si>
  <si>
    <t>DN200 x (10 - 44 deg)</t>
  </si>
  <si>
    <t>DN200 x (46 - 89 deg)</t>
  </si>
  <si>
    <t>DN160 x (10 - 44 deg)</t>
  </si>
  <si>
    <t>DN160 x (46 - 89 deg)</t>
  </si>
  <si>
    <t>G.3.2.10</t>
  </si>
  <si>
    <t>G.3.2.11</t>
  </si>
  <si>
    <t>PSL 8.2.16</t>
  </si>
  <si>
    <t>G.3.3</t>
  </si>
  <si>
    <t>TOTAL SCHEDULE G.3 CARRIED FORWARD TO SUMMARY:</t>
  </si>
  <si>
    <t>G.3.4</t>
  </si>
  <si>
    <t>SANS 1200LB</t>
  </si>
  <si>
    <t>BEDDING (PIPES)</t>
  </si>
  <si>
    <t>b) Selected Fill Material</t>
  </si>
  <si>
    <t>PSL 8.2.2</t>
  </si>
  <si>
    <t>Supply Only of bedding by Importation (note: all importation of bedding material, regardless of distance, shall be regarded as freehaul)</t>
  </si>
  <si>
    <t>PSLB
8.2.2.1</t>
  </si>
  <si>
    <t>Provision of bedding from trench excavation (provisional):</t>
  </si>
  <si>
    <t>From other necessary excavations (provisional):</t>
  </si>
  <si>
    <t>PSLB
8.2.2.2</t>
  </si>
  <si>
    <t>From borrow-pits (provisional):</t>
  </si>
  <si>
    <t>PSLB
8.2.2.3</t>
  </si>
  <si>
    <t>From commercial sources (provisional):</t>
  </si>
  <si>
    <t>PSLB 8.2.4</t>
  </si>
  <si>
    <t>a) Rough Vertical Formwork for Concrete Encasement</t>
  </si>
  <si>
    <t>b) Class 20 / 19 MPa Concrete (Allow for protective pipe wrapping)</t>
  </si>
  <si>
    <t>Encasement of Pipes of OD between 32 - 355 mm: in Concrete (Provisional)</t>
  </si>
  <si>
    <t>TOTAL SCHEDULE G.4 CARRIED FORWARD TO SUMMARY:</t>
  </si>
  <si>
    <t>G.4.1</t>
  </si>
  <si>
    <t>G.4.2</t>
  </si>
  <si>
    <t>G.4.3</t>
  </si>
  <si>
    <t>G.4.4</t>
  </si>
  <si>
    <t>G.4.5</t>
  </si>
  <si>
    <t>G.4.6</t>
  </si>
  <si>
    <t>G.4.7</t>
  </si>
  <si>
    <t>G.4.8</t>
  </si>
  <si>
    <t>Supply, Lay, Joint, Bed and Test the following pipelines:</t>
  </si>
  <si>
    <t>DN315 Class 34 uPVC Pipe</t>
  </si>
  <si>
    <t>DN200 Class 34 uPVC Pipe</t>
  </si>
  <si>
    <t>DN160 Class 34 uPVC Pipe</t>
  </si>
  <si>
    <t>G.5.1</t>
  </si>
  <si>
    <t>H</t>
  </si>
  <si>
    <t>Construct concrete manhole using 1000mm ND precast concrete rings complete as per Detail B on Drawing D34843.00C-133-01 including light duty cover and frame, excavation,  and Type 'A' benching etc.</t>
  </si>
  <si>
    <t>Construct concrete manhole using 1000mm ND precast concrete rings complete as per Detail B on Drawing D34843.00C-133-01 including light duty cover and frame, excavation,  and Type 'A' benching etc. for the following depth categories:</t>
  </si>
  <si>
    <t>Over 0.0 m and less than 1.5 m deep</t>
  </si>
  <si>
    <t>Over 1.5 m and less than 2.5 m deep</t>
  </si>
  <si>
    <t>Over 2.5 m and less than 3.5 m deep</t>
  </si>
  <si>
    <t>G.5.1.1</t>
  </si>
  <si>
    <t>G.5.1.2</t>
  </si>
  <si>
    <t>G.5.1.3</t>
  </si>
  <si>
    <t>G.5.2</t>
  </si>
  <si>
    <t>G.5.2.1</t>
  </si>
  <si>
    <t>G.5.2.2</t>
  </si>
  <si>
    <t>G.5.2.3</t>
  </si>
  <si>
    <t>Jetting / Clearing of Existing Sewer Pipelines (Including for all equipment and material):</t>
  </si>
  <si>
    <t>DN300 Asbestos Cement Pipelines</t>
  </si>
  <si>
    <t>DN250 Asbestos Cement Pipelines</t>
  </si>
  <si>
    <t>High Pressure Jetting and Clearing of Sewer Pipeline for the following pipe diameter catergories</t>
  </si>
  <si>
    <t>Unblocking and draining of Existing Silted / Clogged Sewer Manholes up to a diameter of 1500mm to a maximum depth of 4.0 m</t>
  </si>
  <si>
    <t>Connection to Existing Sewers:</t>
  </si>
  <si>
    <t>Buttwelded HDPe Stubs with Stainless Steel Backing Flanges (PN16):</t>
  </si>
  <si>
    <t>DN110</t>
  </si>
  <si>
    <t>G.3.2.12</t>
  </si>
  <si>
    <t>G.3.2.13</t>
  </si>
  <si>
    <t>Tie in to existing Humus Sludge sump at sludge pump station with DN200 x 1000mm Long Gr 304 Stainless steel puddle pipe (flanged one end). Rate to include for breaking out opening in sump, the cost of the pipe and making good with approved non-shrink grout</t>
  </si>
  <si>
    <t>Tie in to existing Siphon dosing chamber with DN200 x 1000mm Long Gr 304 Stainless steel puddle pipe (flanged one end). Rate to include for breaking out opening in chamber, the cost of the pipe, removal of the existing asbestos pipe penetration and making good with approved non-shrink grout</t>
  </si>
  <si>
    <t>Tie in to existing precast concrete ring manhole with new DN315 uPVC emergency overflow pipe. Rate to include for the breaking out of the opening and making good with non-shrink grout.</t>
  </si>
  <si>
    <t>Tie in to existing precast concrete primary sludge sump inlet manhole with new DN200 uPVC Sludge Outlet Pipeline. Rate to include for breaking out of the opening and making good with non-shrink grout</t>
  </si>
  <si>
    <t>TOTAL SCHEDULE G.5 CARRIED FORWARD TO SUMMARY:</t>
  </si>
  <si>
    <t>G.3.2.14</t>
  </si>
  <si>
    <t>Tie-in to existing precast concrete ring manhole at existing Sludge drying bed supernatant submersible pump station with DN100 x 1000mm Long Stainless steel puddle pipe (flanged one end). Rate to include for breaking out opening in sump / manhole, the cost of the pipe and making good with approved non-shrink grout.</t>
  </si>
  <si>
    <t>DN150 Flanged Gate Valves</t>
  </si>
  <si>
    <t>Break out top 200mm height (nominal) of existing 13,100 mm diameter x 200mm thick concrete external wall with approved means</t>
  </si>
  <si>
    <t>Smooth, Circular Vertical Formwork on both sides of external wall</t>
  </si>
  <si>
    <t>b) Steel-floated finish to top of epoxy grout layer</t>
  </si>
  <si>
    <t>High Tensile Steel Bars (Provisional)</t>
  </si>
  <si>
    <t>Coating of existing rebar with Epocem Armotec 110 Monotop (Sika or similar approved) - provisional</t>
  </si>
  <si>
    <t>DN300 Asbestos Cement Pipework</t>
  </si>
  <si>
    <t>Supply and Install DN150 Metal-Seated Wedge Gate Valve C/W Hand-Wheel</t>
  </si>
  <si>
    <t>Grouting</t>
  </si>
  <si>
    <t>Supply, place and compact approved epoxy repair mortar (Sikadur-43 ZA by Sika or similar approved) including for all surface preparation required (provisional)</t>
  </si>
  <si>
    <t>Demolish and Remove Structures/buildings and dismantle steelwork etc.</t>
  </si>
  <si>
    <t>ℓ</t>
  </si>
  <si>
    <t>Grouting of Sluice Gates with Sikagrout 212 by Sika or similar approved:</t>
  </si>
  <si>
    <t>For Channel Sluice Gates</t>
  </si>
  <si>
    <t>For Hand-stops</t>
  </si>
  <si>
    <t>REPAIRS TO BIOLOGICAL FILTER AND SIPHON DOSING CHAMBER</t>
  </si>
  <si>
    <t>Allow for temporary works during high-pressure jetting of Biofilter, including for all plant, labour, equipment and water control for the duration of activites.
Note: 25% of tendered rate payable upon set up of temporary system, and 75% of rate payable upon completion of activities.</t>
  </si>
  <si>
    <t>High-Pressure Jetting of Biofilter through Aeration Tiles</t>
  </si>
  <si>
    <t>a) Excavation in all materials and use for embankment or dispose</t>
  </si>
  <si>
    <t>Vertical To New RC Base Slab Panels of Overflow Ponds</t>
  </si>
  <si>
    <t>a) Wood-floated finish to top of new concrete base slab</t>
  </si>
  <si>
    <t>30 x 20 mm Keyed Joint Between Panels</t>
  </si>
  <si>
    <t>Apply 2 layers of approved bitumen-based bond breaker between panels</t>
  </si>
  <si>
    <t>250 mm x 2 mm thick Sikadur Combiflex Bandage with Sikadur 31DW 2-part Epoxy Adhesive (Sika or similar approved)</t>
  </si>
  <si>
    <t>Import, Spread, Compact and Test Material in layers no greater than 300mm thickness from commercial sources, borrow-pits or quarries:</t>
  </si>
  <si>
    <t>Profile, spread, rip, recompact &amp; test in situ material to 93% MOD AASHTO in 150 mm thick layers</t>
  </si>
  <si>
    <t>TOTAL SCHEDULE H.1 CARRIED FORWARD TO SUMMARY:</t>
  </si>
  <si>
    <t>NEW OVERFLOW CHAMBERS:</t>
  </si>
  <si>
    <t>Breaking Out of Reinforced Concrete Walkway and wall to accommodate overflow chamber</t>
  </si>
  <si>
    <t>Rough vertical formwork to chamber base slab</t>
  </si>
  <si>
    <t>Smooth Formwork:</t>
  </si>
  <si>
    <t>Chamber RC Walls</t>
  </si>
  <si>
    <t>Smooth vertical formwork to Chamber RC Walls and Opening</t>
  </si>
  <si>
    <t>Box-Out Holes / Form Voids:</t>
  </si>
  <si>
    <t>a) DN300 x Stainless Steel Puddle Pipe Through Chamber and Overflow Pond Wall</t>
  </si>
  <si>
    <t>d) 1000 x 200 mm Inlet Void</t>
  </si>
  <si>
    <t>Mesh Ref .395 (minimum 300mm overlap)</t>
  </si>
  <si>
    <t>Class 30/19 MPa Concrete for Chamber Base Slab and Walls</t>
  </si>
  <si>
    <t>a) Wood-floated finish to top of chamber walls</t>
  </si>
  <si>
    <t>Grouting of Stainless Steel Puddle Pipe Through Existing RC Wall with Sikagrout 212 by Sika or similar approved</t>
  </si>
  <si>
    <t>SUNDRIES:</t>
  </si>
  <si>
    <t>1600 x 1500mm FRP Grating (38 x 51mm Apertures) C/W Type "M" clips and G.M.S Frame (cast into concrete) with fishtail lugs welded at 200mm C/C</t>
  </si>
  <si>
    <t>Class 20/19 MPa Concrete for Benching</t>
  </si>
  <si>
    <t>Class 15/19 MPa Concrete Blinding Layer</t>
  </si>
  <si>
    <t>TOTAL SCHEDULE H.2 CARRIED FORWARD TO SUMMARY:</t>
  </si>
  <si>
    <t>NEW SCOUR VALVE CHAMBERS &amp; PEDESTRIAN BRIDGES</t>
  </si>
  <si>
    <t>a) For DN150 Stainless Steel Puddle Pipe Through Chamber and Existing Walls</t>
  </si>
  <si>
    <t>d) 1000 x 400mm Opening in 250mm thick Chamber Wall</t>
  </si>
  <si>
    <t>Supply and Install DN300 x 2100mm Long Gr 304 Stainless Steel Puddle Pipe (Plain Ends) with minimum 6mm wall thickness</t>
  </si>
  <si>
    <t>Breaking Out of Reinforced Concrete Walkway and wall to accommodate pedestrian bridge and scour pipe</t>
  </si>
  <si>
    <t>Sides and Upstand of Pedestrian Walkway</t>
  </si>
  <si>
    <t>Underside of Pedestrian Bridge</t>
  </si>
  <si>
    <t>Pedestrian Bridge and Ground Beam</t>
  </si>
  <si>
    <t>a) Wood-floated Finish to top of chamber walls and pedestrian walkways</t>
  </si>
  <si>
    <t>Isolation Joint between pedestrian walkway and existing RC walkway:</t>
  </si>
  <si>
    <t>500 x 10 mm Thick Polyethylene Joint Former ("Jointex" by Sondor or similar approved) with hinged 10 x 10 mm temporary blocking piece</t>
  </si>
  <si>
    <t>Slip Joint (Kilcher Bearing) between underside of pedestrian walkway and top of RC chamber walls</t>
  </si>
  <si>
    <t>Grouting of DN150 Stainless Steel Puddle Pipe Through Existing RC Wall and making good overbreak with Sikagrout 212 by Sika or similar approved</t>
  </si>
  <si>
    <t>(b) All Flanges to be "Raised Face" to Table 1600/3 of SANS 1123</t>
  </si>
  <si>
    <t>DN150 Flanged Metal-Seated Wedge Gate Valve with 3000mm long (nominal) S/S Extension Spindle and Hand-Wheel</t>
  </si>
  <si>
    <t>DN150 x 5700mm Long (nominal) Gr 304 Stainless Steel Puddle Pipe flanged one end</t>
  </si>
  <si>
    <t>Rough Formwork for Concrete Pedestal</t>
  </si>
  <si>
    <t>Class 15/19 MPa Concrete for blinding and valve pedestal:</t>
  </si>
  <si>
    <t>1600 x 1600mm FRP Grating (38 x 51mm Apertures) C/W Type "M" clips and G.M.S Frame (cast into concrete) with fishtail lugs welded at 200mm C/C</t>
  </si>
  <si>
    <t>1000mm High GRP/FRP Hand railings complete as per detail 3 on Drg D34843-00C-134-06 including for chemical anchors</t>
  </si>
  <si>
    <t>Stainless Steel Brackets for Extension Spindle, complete as per detail 2 on Drg D34843-00C-134-06</t>
  </si>
  <si>
    <t>H.4</t>
  </si>
  <si>
    <t>TOTAL SCHEDULE H.3 CARRIED FORWARD TO SUMMARY:</t>
  </si>
  <si>
    <t>NEW EMERGENCY OVERFLOW SPILLWAYS</t>
  </si>
  <si>
    <t>Breaking Out of Reinforced Concrete Walkway to accommodate new spillway</t>
  </si>
  <si>
    <t>Profile, spread, rip, recompact &amp; test in situ material to 90% MOD AASHTO in 150 mm thick layers</t>
  </si>
  <si>
    <t>SANS 1200 DK</t>
  </si>
  <si>
    <t>Reno Mattresses (PVC Coated by  Maccaferri or similar approved) including for rock filling (Main stone size of 100 mm as largest dimension):</t>
  </si>
  <si>
    <t>0.3 m x 2 m x 6 m Long</t>
  </si>
  <si>
    <t>0.3 m x 1 m x 6 m Long</t>
  </si>
  <si>
    <t>Refer to Detail 6 on Drg D34843-00C-134-07</t>
  </si>
  <si>
    <t>Rough Vertical Formwork for new RC V-Drain</t>
  </si>
  <si>
    <t>a) Wood-floated finish to top of Trapezoidal Drain</t>
  </si>
  <si>
    <t>Class 25/19 MPa for new Trapezoidal Drain</t>
  </si>
  <si>
    <t>Isolation Joint between existing concrete walkway and new trapezoidal drain</t>
  </si>
  <si>
    <t>Refer to Drg D34843-00C-134-06</t>
  </si>
  <si>
    <t>Refer to Drg D34843-00C-134-05:</t>
  </si>
  <si>
    <t>TOTAL SCHEDULE H.4 CARRIED FORWARD TO SUMMARY:</t>
  </si>
  <si>
    <t>Geotextile (A6 Kaytech bidim or similar approved)</t>
  </si>
  <si>
    <t>Rough Vertical Formwork to Chamber Base Slab &amp; Blinding Layer</t>
  </si>
  <si>
    <t>DN300 Stainless Steel Puddle Pipes Through 250mm thick RC Walls</t>
  </si>
  <si>
    <t>a) Excavation in all materials for bypass isolation valve chamber, use for embankment or backfill or spread on site in designated areas</t>
  </si>
  <si>
    <t>H.2.1.1</t>
  </si>
  <si>
    <t>H.5</t>
  </si>
  <si>
    <t>NEW OVERFLOW RECOVERY SUBMERSIBLE PUMP STATION</t>
  </si>
  <si>
    <t>Refer to Drg D34843-00C-134-08</t>
  </si>
  <si>
    <t>a) Restricted Excavation in all materials for new overflow recovery pump sation up to a maximum depth of 4.0 m below ground level, use for embankment, spread on site in designated areas or backfill</t>
  </si>
  <si>
    <t>Design, Supply, Provision and maintenance of Lateral Support for the duration of construction activities</t>
  </si>
  <si>
    <t>Rough Vertical Formwork for RC Base Slabs</t>
  </si>
  <si>
    <t>RC Sump and Chamber Walls</t>
  </si>
  <si>
    <t>Underside of Roof Slab</t>
  </si>
  <si>
    <t>a) DN150 Stainless Steel Puddle Pipes through 250mm thick RC Walls</t>
  </si>
  <si>
    <t>Sides of Roof Slab</t>
  </si>
  <si>
    <r>
      <t>d) Large, Other than Circular, of area over 0.1 m</t>
    </r>
    <r>
      <rPr>
        <i/>
        <vertAlign val="superscript"/>
        <sz val="9"/>
        <color theme="1"/>
        <rFont val="Arial"/>
        <family val="2"/>
      </rPr>
      <t>2</t>
    </r>
    <r>
      <rPr>
        <i/>
        <sz val="9"/>
        <color theme="1"/>
        <rFont val="Arial"/>
        <family val="2"/>
      </rPr>
      <t xml:space="preserve"> and up to and including 1.0 m</t>
    </r>
    <r>
      <rPr>
        <i/>
        <vertAlign val="superscript"/>
        <sz val="9"/>
        <color theme="1"/>
        <rFont val="Arial"/>
        <family val="2"/>
      </rPr>
      <t>2</t>
    </r>
    <r>
      <rPr>
        <i/>
        <sz val="9"/>
        <color theme="1"/>
        <rFont val="Arial"/>
        <family val="2"/>
      </rPr>
      <t>:</t>
    </r>
  </si>
  <si>
    <t>600 x 600 x 200mm thick opening for manhole cover</t>
  </si>
  <si>
    <t>1000 x 1000 x 200mm thick opening for grate</t>
  </si>
  <si>
    <t>TOTAL SCHEDULE H.5 CARRIED FORWARD TO SUMMARY:</t>
  </si>
  <si>
    <t>Class 30/19 MPa Concrete for RC base, walls and roof slab</t>
  </si>
  <si>
    <t>a) Wood-floated Finish to top of chamber walls roof slab</t>
  </si>
  <si>
    <t>Item 1 - DN150 x 2000mm Long (nominal) Gr 304 Stainless Steel Puddle Pipe with Plain Ends</t>
  </si>
  <si>
    <t>Item 3 - DN150 x 1800mm Long (nominal) Gr 304 Stainless Steel Pipe flanged both ends</t>
  </si>
  <si>
    <t>Item 4 - DN150 x 90 deg Short Radius Gr 304 Stainless Steel Bend flanged both ends (R = 165mm, C/F = 230mm)</t>
  </si>
  <si>
    <t>Item 5 - DN150 x 750mm Long Gr 304 Stainless Steel Pipe flanged one end</t>
  </si>
  <si>
    <t>Item 6 - DN150 Flange Adaptor</t>
  </si>
  <si>
    <t>Item 8 - DN150 Flanged Metal-seated Wedge Gate Valve with Hand-Wheel</t>
  </si>
  <si>
    <t>Item 7 - DN150 Epoxy-coated cast iron swing check valve with lever arm and counterweight</t>
  </si>
  <si>
    <t>Item 9 - DN150 x 850mm Long Gr 304 Stainless Steel Pipe flanged both ends</t>
  </si>
  <si>
    <t>Item 10 - DN160 Buttwelded HDPe Stub with Stainless Steel Backing Flange</t>
  </si>
  <si>
    <t>Supply and Install 1000 x 1000mm FRP Grated Cover (Fibre-grate or similar approved) C/W G.M.S frame with fishtail lugs welded on and Type "M" clips at 200mm spacing</t>
  </si>
  <si>
    <t>Tie in to existing precast concrete manhole ring at position of new overflow recovery pump station with new Stainless Steel puddle pipe and DN160 uPVC pipe. Rate to include breaking out opening in chamber and making good with an approved non-shrink grout.</t>
  </si>
  <si>
    <t>5000mm Long (nominal) Gr 304 Stainless Steel Slack Chain and Y-hook cast into RC Sump Wall</t>
  </si>
  <si>
    <t>NEW OVERFLOW METER CHAMBER</t>
  </si>
  <si>
    <t>Refer to Drg D34843-00C-134-09</t>
  </si>
  <si>
    <t>SANS 1200C</t>
  </si>
  <si>
    <t>Clear and Grub Site for New Meter Chamber</t>
  </si>
  <si>
    <t>a) Restricted Excavation in all materials for new overflow meter chamber for maxium depth of 3.0 m below ground level, use for embankment, spread on site in designated areas or backfill</t>
  </si>
  <si>
    <t>Rough Vertical Formwork for RC Base Slab</t>
  </si>
  <si>
    <t>RC Walls</t>
  </si>
  <si>
    <r>
      <t>Item</t>
    </r>
    <r>
      <rPr>
        <sz val="9"/>
        <rFont val="Arial"/>
        <family val="2"/>
      </rPr>
      <t xml:space="preserve"> 5</t>
    </r>
    <r>
      <rPr>
        <sz val="9"/>
        <color theme="1"/>
        <rFont val="Arial"/>
        <family val="2"/>
      </rPr>
      <t xml:space="preserve"> - DN300 Electromagnetic Flow Meter ("Magflux" by MJK or similar approved) C/W converter and earthing rings</t>
    </r>
  </si>
  <si>
    <t>Sides of Chamber Roof Slab</t>
  </si>
  <si>
    <t>Underside of Concrete Roof Slab</t>
  </si>
  <si>
    <t>a) DN300 Stainless Steel Puddle Pipes through 250mm thick RC Walls</t>
  </si>
  <si>
    <t>d) 1075 x 775mm for Manhole Cover in 200mm thick Roof Slab</t>
  </si>
  <si>
    <t>a) Wood-floated finish to top of RC walls and roof slab</t>
  </si>
  <si>
    <t>2 No. Layers of 3-ply Malthoid between top of RC walls and chamber roof slab</t>
  </si>
  <si>
    <t>(d) 3mm thick spiral wound ring gaskets ("Maxiflex" by Klinger or similar approved) to be used between all flanged connections</t>
  </si>
  <si>
    <t>Item 1 - DN315 Flange Adaptor for uPVC Pipe</t>
  </si>
  <si>
    <t>Item 2 - DN300 Gr 304 Stainless Steel "Gooseneck" with dimensions as shown</t>
  </si>
  <si>
    <t>Item 4 - DN300 x 1000mm Long Gr 304 Stainless Steel Puddle Pipe flanged both ends</t>
  </si>
  <si>
    <t>Item 3 - Table 1600/8 Gr 304 Stainless Steel Blank Flange</t>
  </si>
  <si>
    <t>TOTAL SCHEDULE B.2 CARRIED FORWARD TO SUMMARY:</t>
  </si>
  <si>
    <r>
      <t>Clear, Lift, Load and Dispose of Materials in Approved Dump Site</t>
    </r>
    <r>
      <rPr>
        <sz val="10"/>
        <rFont val="Arial"/>
        <family val="2"/>
      </rPr>
      <t xml:space="preserve"> </t>
    </r>
  </si>
  <si>
    <t>Remove and Grub trees and tree stumps of girth:</t>
  </si>
  <si>
    <t>Removal and disposal of existing concrete surfaces</t>
  </si>
  <si>
    <t>Removal of Existing Pavement (Rate to include for Asphalt surfacings up to a maximum of 50mm thick)</t>
  </si>
  <si>
    <t>a) Excavate in all materials and use for embankment or backfill or dispose as directed by the Engineer.</t>
  </si>
  <si>
    <t>Import G8 material from commercial sources and compact to 90% of MDD for platforms, embankments e.t.c.</t>
  </si>
  <si>
    <t>8.3.10</t>
  </si>
  <si>
    <t>Supply and lay High tensile strength geotextile Rock Grid PC or similar approved to support, stabilise and reinforce the embankment</t>
  </si>
  <si>
    <t xml:space="preserve">EARTHWORKS </t>
  </si>
  <si>
    <t>EARTHWORKS FOR PIPE TRENCHES</t>
  </si>
  <si>
    <t>Surface preparation for bedding of gabions</t>
  </si>
  <si>
    <t xml:space="preserve">Rough Formwork for drains, anchor blocks and culvert splitter blocks </t>
  </si>
  <si>
    <t>a) Wood-floated finish</t>
  </si>
  <si>
    <t>CONCRETE WORKS (Structural)</t>
  </si>
  <si>
    <t>SANS 1200 LB</t>
  </si>
  <si>
    <t>SECTION 6 : BEDDING ( PIPES)</t>
  </si>
  <si>
    <t>PSLB 8.2.2.3</t>
  </si>
  <si>
    <t>From commercial sources:</t>
  </si>
  <si>
    <t>Inspection boxes/Cleaning eyes</t>
  </si>
  <si>
    <t>8.2.10</t>
  </si>
  <si>
    <t>Accessories</t>
  </si>
  <si>
    <t xml:space="preserve">Supply G5 material from commercial sources and construct subbase </t>
  </si>
  <si>
    <t>d) Stabilisation to achieve a cement stabilised C4 layer  with UCS of 1.5MPa &amp; Min I.T.S 200KPa compacted to 95% Mod AASHTO</t>
  </si>
  <si>
    <t>8.3.8</t>
  </si>
  <si>
    <t xml:space="preserve">Stabilising agent </t>
  </si>
  <si>
    <t>8.3.8(b)</t>
  </si>
  <si>
    <t>a) G2 material compacted to 102 % Mod.AASHTO max. density for roads</t>
  </si>
  <si>
    <t>SECTION 10 : ASPHALT SURFACING</t>
  </si>
  <si>
    <r>
      <t>Prime coat of Inverted bitumen emulsion. Application Rate 0.7 L/m</t>
    </r>
    <r>
      <rPr>
        <vertAlign val="superscript"/>
        <sz val="9"/>
        <rFont val="Arial"/>
        <family val="2"/>
      </rPr>
      <t>2</t>
    </r>
  </si>
  <si>
    <t>SANS 1200 MK</t>
  </si>
  <si>
    <t>SECTION 11 : KERBING AND CHANNELING</t>
  </si>
  <si>
    <t>Never refer to Revisions of drawings. Cap descriptions at the 123-01 to cater for revisions down the line</t>
  </si>
  <si>
    <t>SANS 
1200 G</t>
  </si>
  <si>
    <t>This item is supposed to be split up between rock and 15 MPa concrete</t>
  </si>
  <si>
    <t>AFFECTED AREA 1</t>
  </si>
  <si>
    <t>Rough Vertical Formwork for RC Base Slabs, Blinding and Valve Pedestal</t>
  </si>
  <si>
    <t>Sides of Sump and Chamber Roof Slab</t>
  </si>
  <si>
    <t>DN100 Stainless Steel Puddle Pipes Through 250mm thick RC Walls</t>
  </si>
  <si>
    <t>DN150 Stainless steel puddle pipe through 250mm thick RC wall</t>
  </si>
  <si>
    <t>Shuttering for Pipe penetration through existing 230mm thick brickwork wall</t>
  </si>
  <si>
    <t>Class 15/19 MPa Concrete Blinding Layer and concrete pedestals</t>
  </si>
  <si>
    <t>4000mm Long (nominal) Gr 304 Stainless Steel Slack Chain and Y-hook cast into RC Sump Wall</t>
  </si>
  <si>
    <t>Rough Vertical Formwork to:</t>
  </si>
  <si>
    <t>Import, Spread, Compact and Test G5 Material to 95% MOD AASHTO in layers no greater than 300mm thickness from commercial sources, borrow-pits or quarries.</t>
  </si>
  <si>
    <t>a) Restricted Excavation in all materials for foundations and use for embankment, spread on site in designated areas or backfill</t>
  </si>
  <si>
    <t>Underside of Roof</t>
  </si>
  <si>
    <t>SCHEDULE J: EARTHWORKS, STORMWATER CONTROL &amp; FLOOD DAMAGES RESTORATION</t>
  </si>
  <si>
    <t>Speak to some suppliers to confirm the rate</t>
  </si>
  <si>
    <t>double check that speck has been provided</t>
  </si>
  <si>
    <t>Geotextile blanket for Gabions (A4 Kaytech (2.3mm thick, Penetration Load = 2.5KN, Porosity = 93%) or similar approved)</t>
  </si>
  <si>
    <t>Consistency</t>
  </si>
  <si>
    <t>Water Tank and Pump Plinths</t>
  </si>
  <si>
    <t>Sides of Roller Shutter Door Beams</t>
  </si>
  <si>
    <t>c) Power-floated finish to top of RC surface beds</t>
  </si>
  <si>
    <t>RC Ground Beams and Stub Columns</t>
  </si>
  <si>
    <t>Class 30/19 MPa Concrete with waterproofing admixture ("Admix" by Xypex or similar approved) for top of rib and block roof slab</t>
  </si>
  <si>
    <t>a) Wood-Floated Finish to aprons, plinths, roof slab, support beams etc.</t>
  </si>
  <si>
    <t>BUILDING WORKS:</t>
  </si>
  <si>
    <t>Supply and Install 2500 high x 3000mm wide Galvanised Steel Manually operated roller shutter door</t>
  </si>
  <si>
    <t>Supply and Install 2000 high x 940mm wide Galvanised Steel Security Door with 500 x 500 Louvre at bottom of door (Trox Technic or similar approved)</t>
  </si>
  <si>
    <r>
      <t>Supply and Install 10 k</t>
    </r>
    <r>
      <rPr>
        <sz val="9"/>
        <color theme="1"/>
        <rFont val="Calibri"/>
        <family val="2"/>
      </rPr>
      <t>ℓ</t>
    </r>
    <r>
      <rPr>
        <sz val="9"/>
        <color theme="1"/>
        <rFont val="Arial"/>
        <family val="2"/>
      </rPr>
      <t xml:space="preserve"> capacity UV-resistant plastic water tank (JoJo tanks or similar approved) C/W inlet, outlet and overflow connections and tie-down bolts</t>
    </r>
  </si>
  <si>
    <t>Supply and Install "Torch-On" Waterproofing Membrane (Derbit SP FR or similar approved) with 10-year warranty including for primer and overcoat in line with supplier recommendations</t>
  </si>
  <si>
    <t>C.1</t>
  </si>
  <si>
    <t>C.1.1</t>
  </si>
  <si>
    <t>C.1.2</t>
  </si>
  <si>
    <t>D.1</t>
  </si>
  <si>
    <t>D.2</t>
  </si>
  <si>
    <t>SCHEDULE I: UPSTREAM CATCHMENT AREA REPAIRS</t>
  </si>
  <si>
    <t>Supply and Install waterproofing membrane in bunded area ("Cemflex" by Sika or similar approved) including for all primers and overcoats</t>
  </si>
  <si>
    <t>CHLORINE CONTACT TANK SCOUR SUMP PUMP STATION</t>
  </si>
  <si>
    <t>Meter Chamber Base Slab</t>
  </si>
  <si>
    <t>Supernatant Sump and Meter Chamber Walls</t>
  </si>
  <si>
    <t>Supernatant Sump and Meter Chamber Roof Slab and Opening for Grate</t>
  </si>
  <si>
    <t>Mixing Pump Plinths</t>
  </si>
  <si>
    <t>Underside of Supernatant Sump and Meter Chamber Roof Slab</t>
  </si>
  <si>
    <t>DN200 Stainless Steel Puddle Pipe through RC Chamber walls</t>
  </si>
  <si>
    <t>DN150 Stainless Steel Puddle Pipe through RC Sump Wall</t>
  </si>
  <si>
    <t>RC Meter Chamber Base, Walls and Roof</t>
  </si>
  <si>
    <t>Class 15/19 MPa Concrete for blinding layer beneath foundations, base slabs, apron slabs etc.</t>
  </si>
  <si>
    <t>b) Steel-floated finish to supernatant sump benching and top of pump house roof slab</t>
  </si>
  <si>
    <t>2No. Layers of 3-ply malthoid between 230/ 250mm thick brickwork/RC walls in RC Chambers and jet mixing pump house</t>
  </si>
  <si>
    <t>Supernatant Sump and Meter Chamber Sundries:</t>
  </si>
  <si>
    <t>2000mm Long</t>
  </si>
  <si>
    <t>3000mm Long</t>
  </si>
  <si>
    <t>NEW SLUDGE DIGESTOR SUPERNATANT,  OUTLET AND INLET PIPEWORK (REFER TO DRG D34843-00C-134-02):</t>
  </si>
  <si>
    <t>Cutting of DN150 Cast Iron Digester Inlet Pipe Riser</t>
  </si>
  <si>
    <t>Item 15 - DN150 x 1200mm Long (nominal) Gr 304 Stainless Steel Pipe flanged both ends</t>
  </si>
  <si>
    <t>Item 16 -  DN150 Electromagnetic Flow Meter ("Magflux" by MJK or similar approved) C/W converter and earthing rings</t>
  </si>
  <si>
    <t>Item 1 - DN200 Flexible PVC-to-Steel Step Coupling</t>
  </si>
  <si>
    <t>Item 2 - DN200 Gr 304 Stainless Steel "Gooseneck" complete as per detail</t>
  </si>
  <si>
    <t>NEW SLUDGE OUTLET FLOW METER (REFER TO DRG D34843-00C-134-10):</t>
  </si>
  <si>
    <t>Item 3 - DN200 Epoxy-coated Cast Iron End cap</t>
  </si>
  <si>
    <t>Item 4 - DN200 x 1000mm Long Gr 304 Stainless Steel puddle pipe flanged both ends</t>
  </si>
  <si>
    <t>Item 5 -  DN200 Electromagnetic Flow Meter ("Magflux" by MJK or similar approved) C/W converter and earthing rings</t>
  </si>
  <si>
    <t>Item 6 -  DN200 x 2000mm Long uPVC Pipe Cut to suit</t>
  </si>
  <si>
    <t>Sundries</t>
  </si>
  <si>
    <t>Supply and Install 980 x 680mm type 9E lockable polymer cover and frame (Maverick Trading or similar approved)</t>
  </si>
  <si>
    <t>Tie in to existing Humus Sludge sump at sludge pump station with DN150 Stainless steel supernatant outlet pipe. Rate to include for breaking out opening in sump and making good with approved non-shrink grout</t>
  </si>
  <si>
    <t>Design, Supply and maintenance of Lateral Support for Deep Excavations for the duration of construction activities</t>
  </si>
  <si>
    <t>NEW ACCESS ROAD</t>
  </si>
  <si>
    <t>d) Process subbase material by Stabilisation to achieve a cement stabilised C4 layer  with UCS of 1.5MPa &amp; Min I.T.S 200KPa compacted to 95% Mod AASHTO</t>
  </si>
  <si>
    <t xml:space="preserve">b) Supply of Portland Cement as Stabilising agent </t>
  </si>
  <si>
    <t>BASE</t>
  </si>
  <si>
    <t>a) Construct base with G2 gravel material compacted to 102 % Mod.AASHTO max. density from commercial sources or designated borrow-pits</t>
  </si>
  <si>
    <t>ASPHALT SURFACING</t>
  </si>
  <si>
    <t>Asphalt surfacing layer - sand skeletal mix - Continously graded as defined (40mm thickness, (Medium Grade) using A-E2 modified binder maximum aggregate size 14.0mm)</t>
  </si>
  <si>
    <t>Import G8 material from commercial sources and compact to 90% of MDD new access road</t>
  </si>
  <si>
    <t>KERBING AND CHANNELING</t>
  </si>
  <si>
    <t>B.3.1</t>
  </si>
  <si>
    <t>B.3.2</t>
  </si>
  <si>
    <t>B.3.3</t>
  </si>
  <si>
    <t>CONSTRUCTION OF NEW INLET WORKS AND DEMOLITION OF EXISTING</t>
  </si>
  <si>
    <t>a) Restricted Excavation in all materials for inlet works foundations up to a maximum depth of 5.0 m below ground level, use for embankment, spread on site in designated areas or backfill in layers no greater than 300mm thickness to 90% MOD AASHTO</t>
  </si>
  <si>
    <t>Vertical to Inlet Works Base Slabs, Foundations and Mass Concrete</t>
  </si>
  <si>
    <t>Sloping to Underside of Vortex Degritter (Sacrificial)</t>
  </si>
  <si>
    <t>Chamfers for Inlet Works Splitter Block as per Detail A on Drg D34843-00C-134-01</t>
  </si>
  <si>
    <t>Supply &amp; Install self-adhesive swellable waterstop (Kuniseal C31-DS by Xypex or similar approved) including for all surface preparation</t>
  </si>
  <si>
    <t>Refer to Drg D34843-00C-134-01</t>
  </si>
  <si>
    <t>TOTAL SCHEDULE B.3 CARRIED FORWARD TO SUMMARY:</t>
  </si>
  <si>
    <t>CLEARING OUT OF TANK</t>
  </si>
  <si>
    <t>C.2</t>
  </si>
  <si>
    <t>Refer to Drg D34843-00C-134-02</t>
  </si>
  <si>
    <t>a) Wood-Floated Finish RC Chamber walls, roof slabs and pump house apron slabs</t>
  </si>
  <si>
    <t>BRICKWORK KIOSKS FOR M&amp;E EQUIPMENT</t>
  </si>
  <si>
    <t>8.3.1.1</t>
  </si>
  <si>
    <t>Clear and Strip Site for brickwork kiosks</t>
  </si>
  <si>
    <t>Excavate in all materials for new brickwork kiosk strip foundations, use for embankment, spread on site in designated areas or backfill and compact to 90% MOD AASTO in layers no greater than 300mm thickness.</t>
  </si>
  <si>
    <t>1) Intermediate Excavation (provisional)</t>
  </si>
  <si>
    <t>2) Hard Rock Excavation (provisional)</t>
  </si>
  <si>
    <t>Rough Vertical Formwork between apron panels</t>
  </si>
  <si>
    <t>The Contractor is to note that no drawings have been provided for the various brickwork kiosks that are required to house the mechanical and electrical equipment, given that the final dimensions of this equipment will be finalised by the M&amp;E Sub-Contractor during construction. Estimated quantities have been provided in the below schedule to cater for the activities required for these structures.</t>
  </si>
  <si>
    <t>Vertical to Sides of Roof Slabs</t>
  </si>
  <si>
    <t>Horizontal to Underside of Roof Slab (Including for scaffolding up to 3.0m high)</t>
  </si>
  <si>
    <t>Class 30 / 19 MPa Concrete for RC Roof Slabs</t>
  </si>
  <si>
    <t>Class 25/19 MPa Concrete for RC Surface Beds, Aprons, and Strip Foundations</t>
  </si>
  <si>
    <t>Class 20/19 MPa mass concrete for miscellaneous items</t>
  </si>
  <si>
    <t>Class 15/19 MPa blinding layer</t>
  </si>
  <si>
    <t>c) Power-floated finish to surface beds</t>
  </si>
  <si>
    <t>a) Wood-floated finish to top of apron slabs and roof slab</t>
  </si>
  <si>
    <t>2No. Layers of 3-ply malthoid between 230mm thick brickwork and RC roof slabs</t>
  </si>
  <si>
    <t>TOTAL SCHEDULE B.4 CARRIED FORWARD TO SUMMARY:</t>
  </si>
  <si>
    <t>SCHEDULE K: SECOND CLASS WATER STORAGE TANK</t>
  </si>
  <si>
    <t>K.1</t>
  </si>
  <si>
    <t>Clear and Strip Site Elevated Tank Foundations</t>
  </si>
  <si>
    <t>Restricted Excavation in all materials for tank platforms. Use for embankment or backfill or spread on site if excess.</t>
  </si>
  <si>
    <t>K.2</t>
  </si>
  <si>
    <t>Smooth Vertical Formwork for RC Stub Columns</t>
  </si>
  <si>
    <t>Rough Vertical Formwork for RC base</t>
  </si>
  <si>
    <t>Class 30/19 MPa Concrete for RC Base Slab and Stub Columns</t>
  </si>
  <si>
    <t>Class 15/19 MPa Concrete for Blinding layer</t>
  </si>
  <si>
    <t>a) Wood-floated finish to top of stub columns</t>
  </si>
  <si>
    <t>a) Grouting between baseplates and stub columns</t>
  </si>
  <si>
    <t>K.3</t>
  </si>
  <si>
    <t>Elevated Sectional Steel Storage Tank</t>
  </si>
  <si>
    <t>Supply, Install and Erect 32.7 kℓ Capacity Sectional Steel Tank (Epoxy-coated internally and hot dip galvanised externally) on 10m high galvanised tank stand C/W tank stand and base plate, walkway, internal and external cat ladders, holding down bolts, water level indicator, nozzle for float switch installation.</t>
  </si>
  <si>
    <t>Sterilisation of Tank</t>
  </si>
  <si>
    <t>Commissioning of Tank</t>
  </si>
  <si>
    <t>Supply and Place Pipes, Valves and Specials (Short Pipe Runs) for Elevated Tank Pipework:</t>
  </si>
  <si>
    <t>Gr 304 Stainless Steel Pipe Lengths Flanged Both Ends for the following diameters and lengths:</t>
  </si>
  <si>
    <t>DN80 x 6000mm Long</t>
  </si>
  <si>
    <t>DN80 x 1000mm Long (Cut to Suit on Site)</t>
  </si>
  <si>
    <t>DN100 x 6000mm Long</t>
  </si>
  <si>
    <t>DN100 x 1000mm Long (Cut to Suit on Site)</t>
  </si>
  <si>
    <t>K.3.1</t>
  </si>
  <si>
    <t>K.3.1.1</t>
  </si>
  <si>
    <t>K.3.1.2</t>
  </si>
  <si>
    <t>K.3.1.3</t>
  </si>
  <si>
    <t>K.3.2</t>
  </si>
  <si>
    <t>K.3.2.1</t>
  </si>
  <si>
    <t>K.3.2.2</t>
  </si>
  <si>
    <t>Gr 304 Stainless Steel Medium Radius Bends (Flanged Both Ends) with the following diameters and dimensions:</t>
  </si>
  <si>
    <t>DN80 x 90 deg (R = 150mm, C/F = 220mm)</t>
  </si>
  <si>
    <t>DN100 x 90 deg (R = 200mm, C/F = 260mm)</t>
  </si>
  <si>
    <t>K.3.2.3</t>
  </si>
  <si>
    <t>K.3.2.4</t>
  </si>
  <si>
    <t>Gr 304 Stainless Steel Tees (flanged all ends) for the following diameters and dimensions:</t>
  </si>
  <si>
    <t>Flanged DN80 Metal-Seated Wedge Gate Valve C/W Hand-Wheel</t>
  </si>
  <si>
    <t>K.3.2.5</t>
  </si>
  <si>
    <t>K.3.2.6</t>
  </si>
  <si>
    <t>DN110 Compression Flange Adaptor for HDPe Pipes (PN16)</t>
  </si>
  <si>
    <t>K.3.2.7</t>
  </si>
  <si>
    <t>DN80 Flanged Equilibrium Float Valve (Model 7354 by Vosa or similar approved)</t>
  </si>
  <si>
    <t>K.3.3</t>
  </si>
  <si>
    <t>PSL 8.2.11.b)</t>
  </si>
  <si>
    <t>Anchor Blocks, Thurst Blocks &amp; Pedestals:</t>
  </si>
  <si>
    <t>Class 20/19 MPa Concrete</t>
  </si>
  <si>
    <t>Rough Vertical Formwork</t>
  </si>
  <si>
    <t>G.3.3.1</t>
  </si>
  <si>
    <t>G.3.3.2</t>
  </si>
  <si>
    <t>G.3.5</t>
  </si>
  <si>
    <t>K.2.1</t>
  </si>
  <si>
    <t>K.2.2</t>
  </si>
  <si>
    <t>K.2.3</t>
  </si>
  <si>
    <t>K.2.4</t>
  </si>
  <si>
    <t>K.1.1</t>
  </si>
  <si>
    <t>K.1.2</t>
  </si>
  <si>
    <t>K.1.3</t>
  </si>
  <si>
    <t>K.1.4</t>
  </si>
  <si>
    <t>K.1.5</t>
  </si>
  <si>
    <t>J</t>
  </si>
  <si>
    <t>Earthworks, Stormwater Control &amp; Flood Damages Restoration</t>
  </si>
  <si>
    <t>Total Schedule of Quantities (A + B + C + D + E + F + G + H + I + J + K)</t>
  </si>
  <si>
    <t>K</t>
  </si>
  <si>
    <t>E.1.6</t>
  </si>
  <si>
    <t>Break Out Existing Coping Blocks on digester roof access hatch and dispose in approved dump site</t>
  </si>
  <si>
    <t>Break out top 200mm height (nominal) of existing 2,200 mm diameter x 200mm thick concrete external wall with approved means</t>
  </si>
  <si>
    <t>ALTERATIONS TO DIGESTER ROOF HATCH</t>
  </si>
  <si>
    <t>TOTAL SCHEDULE E.2 CARRIED FORWARD TO SUMMARY:</t>
  </si>
  <si>
    <t>Allow for Design and implementation of Lateral restraint for circumference of digester during clearing out activities</t>
  </si>
  <si>
    <t>Class 25/19 MPa Concrete for Jet Mixing Pump House Strip Footing, Surface Bed, Plinths and Apron Slabs</t>
  </si>
  <si>
    <t>SECTION</t>
  </si>
  <si>
    <t>SUMS STATED PROVISIONALLY BY THE ENGINEER</t>
  </si>
  <si>
    <t>SUMMARY OF SECTIONS - SCHEDULE A</t>
  </si>
  <si>
    <t>TOTAL SCHEDULE A CARRIED FORWARD TO SUMMARY PAGE
(A.1 + A.2 + A.3 + A.4 + A.5)</t>
  </si>
  <si>
    <t>K.3.2.8</t>
  </si>
  <si>
    <t>DN100</t>
  </si>
  <si>
    <t>DN80</t>
  </si>
  <si>
    <t>Flange Insulation Kit for Joining Stainless Steel to Galvanised Steel Pipe (dissimilar metals) including for G10 Glass Reinforced Epoxy bolt sleeves, washers gaskets and the like for the following diameters:</t>
  </si>
  <si>
    <t>A.1.2</t>
  </si>
  <si>
    <t>A.1.4</t>
  </si>
  <si>
    <t>A.1.5</t>
  </si>
  <si>
    <t>A.1.7</t>
  </si>
  <si>
    <t>A.1.8</t>
  </si>
  <si>
    <t>A.1.13</t>
  </si>
  <si>
    <t>A.1.18</t>
  </si>
  <si>
    <t>A.1.21</t>
  </si>
  <si>
    <t>A.2.2</t>
  </si>
  <si>
    <t>A.2.4</t>
  </si>
  <si>
    <t>A.2.6</t>
  </si>
  <si>
    <t>A.2.7</t>
  </si>
  <si>
    <t>A.2.12</t>
  </si>
  <si>
    <t>A.2.19</t>
  </si>
  <si>
    <t>A.4.1.1</t>
  </si>
  <si>
    <t>A.4.1.2</t>
  </si>
  <si>
    <t>A.4.1.3</t>
  </si>
  <si>
    <t>A.4.1.4</t>
  </si>
  <si>
    <t>A.4.1.5</t>
  </si>
  <si>
    <t>A.4.1.6</t>
  </si>
  <si>
    <t>A.4.1.7</t>
  </si>
  <si>
    <t>A.4.1.8</t>
  </si>
  <si>
    <t>A.4.1.9</t>
  </si>
  <si>
    <t>A.4.1.10</t>
  </si>
  <si>
    <t>A.4.1.11</t>
  </si>
  <si>
    <t>A.4.1.12</t>
  </si>
  <si>
    <t>A.4.2</t>
  </si>
  <si>
    <t>A.4.2.1</t>
  </si>
  <si>
    <t>A.4.2.2</t>
  </si>
  <si>
    <t>A.4.2.3</t>
  </si>
  <si>
    <t>A.4.2.4</t>
  </si>
  <si>
    <t>A.4.2.5</t>
  </si>
  <si>
    <t>A.5.3</t>
  </si>
  <si>
    <t>B.1.1</t>
  </si>
  <si>
    <t>B.1.1.1</t>
  </si>
  <si>
    <t>B.1.1.2</t>
  </si>
  <si>
    <t>B.1.1.3</t>
  </si>
  <si>
    <t>B.1.1.4</t>
  </si>
  <si>
    <t>B.1.1.5</t>
  </si>
  <si>
    <t>B.1.1.6</t>
  </si>
  <si>
    <t>B.1.2</t>
  </si>
  <si>
    <t>B.1.2.1</t>
  </si>
  <si>
    <t>B.1.2.2</t>
  </si>
  <si>
    <t>B.1.2.3</t>
  </si>
  <si>
    <t>B.1.2.4</t>
  </si>
  <si>
    <t>B.1.3</t>
  </si>
  <si>
    <t>B.1.3.1</t>
  </si>
  <si>
    <t>B.1.3.2</t>
  </si>
  <si>
    <t>B.1.3.3</t>
  </si>
  <si>
    <t>B.1.3.4</t>
  </si>
  <si>
    <t>B.1.3.5</t>
  </si>
  <si>
    <t>B.1.3.6</t>
  </si>
  <si>
    <t>B.1.3.7</t>
  </si>
  <si>
    <t>B.1.3.8</t>
  </si>
  <si>
    <t>B.1.3.9</t>
  </si>
  <si>
    <t>B.1.3.10</t>
  </si>
  <si>
    <t>B</t>
  </si>
  <si>
    <t>B.1.3.11</t>
  </si>
  <si>
    <t>B.1.3.12</t>
  </si>
  <si>
    <t>B.1.3.13</t>
  </si>
  <si>
    <t>B.1.3.14</t>
  </si>
  <si>
    <t>B.1.3.15</t>
  </si>
  <si>
    <t>B.1.3.16</t>
  </si>
  <si>
    <t>B.1.3.17</t>
  </si>
  <si>
    <t>B.1.3.18</t>
  </si>
  <si>
    <t>B.1.3.19</t>
  </si>
  <si>
    <t>B.1.3.20</t>
  </si>
  <si>
    <t>B.1.3.21</t>
  </si>
  <si>
    <t>B.1.3.22</t>
  </si>
  <si>
    <t>B.1.3.23</t>
  </si>
  <si>
    <t>B.1.4</t>
  </si>
  <si>
    <t>B.1.4.1</t>
  </si>
  <si>
    <t>B.1.4.2</t>
  </si>
  <si>
    <t>B.1.4.3</t>
  </si>
  <si>
    <t>B.1.4.4</t>
  </si>
  <si>
    <t>B.1.4.5</t>
  </si>
  <si>
    <t>B.1.4.6</t>
  </si>
  <si>
    <t>B.1.4.7</t>
  </si>
  <si>
    <t>B.1.5</t>
  </si>
  <si>
    <t>B.1.5.1</t>
  </si>
  <si>
    <t>B.2.1</t>
  </si>
  <si>
    <t>B.2.1.1</t>
  </si>
  <si>
    <t>B.2.1.2</t>
  </si>
  <si>
    <t>B.2.2</t>
  </si>
  <si>
    <t>B.2.2.1</t>
  </si>
  <si>
    <t>B.2.2.2</t>
  </si>
  <si>
    <t>B.2.2.3</t>
  </si>
  <si>
    <t>B.2.3</t>
  </si>
  <si>
    <t>B.2.3.1</t>
  </si>
  <si>
    <t>B.2.3.2</t>
  </si>
  <si>
    <t>B.2.3.3</t>
  </si>
  <si>
    <t>B.2.3.4</t>
  </si>
  <si>
    <t>B.2.3.5</t>
  </si>
  <si>
    <t>B.2.3.6</t>
  </si>
  <si>
    <t>B.2.3.7</t>
  </si>
  <si>
    <t>B.2.3.8</t>
  </si>
  <si>
    <t>B.2.3.9</t>
  </si>
  <si>
    <t>B.2.3.10</t>
  </si>
  <si>
    <t>B.2.3.11</t>
  </si>
  <si>
    <t>B.2.3.12</t>
  </si>
  <si>
    <t>B.2.4</t>
  </si>
  <si>
    <t>B.2.4.1</t>
  </si>
  <si>
    <t>B.2.4.2</t>
  </si>
  <si>
    <t>B.2.4.3</t>
  </si>
  <si>
    <t>B.2.4.4</t>
  </si>
  <si>
    <t>B.2.4.5</t>
  </si>
  <si>
    <t>B.4.1</t>
  </si>
  <si>
    <t>B.4.1.1</t>
  </si>
  <si>
    <t>B.4.1.2</t>
  </si>
  <si>
    <t>B.4.1.3</t>
  </si>
  <si>
    <t>B.4.1.4</t>
  </si>
  <si>
    <t>B.4.1.5</t>
  </si>
  <si>
    <t>B.4.1.6</t>
  </si>
  <si>
    <t>B.4.2</t>
  </si>
  <si>
    <t>B.4.2.1</t>
  </si>
  <si>
    <t>B.4.2.2</t>
  </si>
  <si>
    <t>B.4.2.3</t>
  </si>
  <si>
    <t>B.4.2.4</t>
  </si>
  <si>
    <t>B.4.2.5</t>
  </si>
  <si>
    <t>B.4.2.6</t>
  </si>
  <si>
    <t>B.4.2.7</t>
  </si>
  <si>
    <t>B.4.2.8</t>
  </si>
  <si>
    <t>B.4.2.9</t>
  </si>
  <si>
    <t>B.4.2.10</t>
  </si>
  <si>
    <t>B.4.2.11</t>
  </si>
  <si>
    <t>B.4.2.12</t>
  </si>
  <si>
    <t>B.4.2.13</t>
  </si>
  <si>
    <t>B.4.2.14</t>
  </si>
  <si>
    <t>B.4.2.15</t>
  </si>
  <si>
    <t>B.4.2.16</t>
  </si>
  <si>
    <t>B.4.2.17</t>
  </si>
  <si>
    <t>B.4.2.18</t>
  </si>
  <si>
    <t>B.4.2.19</t>
  </si>
  <si>
    <t>B.4.2.20</t>
  </si>
  <si>
    <t>B.4.2.21</t>
  </si>
  <si>
    <t>B.4.2.22</t>
  </si>
  <si>
    <t>B.4.2.23</t>
  </si>
  <si>
    <t>B.4.2.24</t>
  </si>
  <si>
    <t>SUMMARY OF SECTIONS - SCHEDULE B</t>
  </si>
  <si>
    <t>TOTAL SCHEDULE B CARRIED FORWARD TO SUMMARY PAGE
(B.1 + B.2 + B.3 + B.4)</t>
  </si>
  <si>
    <t>C.2.1</t>
  </si>
  <si>
    <t>C.2.2</t>
  </si>
  <si>
    <t>C.2.3</t>
  </si>
  <si>
    <t>C.2.4</t>
  </si>
  <si>
    <t>C.3</t>
  </si>
  <si>
    <t>C.3.1</t>
  </si>
  <si>
    <t>E.2.1.2</t>
  </si>
  <si>
    <t>E.2.1.1</t>
  </si>
  <si>
    <t>E.2.2.1</t>
  </si>
  <si>
    <t>E.2.2.2</t>
  </si>
  <si>
    <t>E.2.2.3</t>
  </si>
  <si>
    <t>E.2.2.4</t>
  </si>
  <si>
    <t>E.2.2.5</t>
  </si>
  <si>
    <t>E.3</t>
  </si>
  <si>
    <t>E.3.1</t>
  </si>
  <si>
    <t>E.3.1.1</t>
  </si>
  <si>
    <t>E.3.1.2</t>
  </si>
  <si>
    <t>E.3.1.3</t>
  </si>
  <si>
    <t>E.3.2</t>
  </si>
  <si>
    <t>E.3.2.1</t>
  </si>
  <si>
    <t>E.3.3</t>
  </si>
  <si>
    <t>E.3.3.1</t>
  </si>
  <si>
    <t>E.3.3.2</t>
  </si>
  <si>
    <t>E.3.3.3</t>
  </si>
  <si>
    <t>E.3.3.4</t>
  </si>
  <si>
    <t>E.3.3.5</t>
  </si>
  <si>
    <t>E.3.3.6</t>
  </si>
  <si>
    <t>E.3.3.7</t>
  </si>
  <si>
    <t>E.3.3.8</t>
  </si>
  <si>
    <t>E.3.3.9</t>
  </si>
  <si>
    <t>E.3.3.10</t>
  </si>
  <si>
    <t>E.3.3.11</t>
  </si>
  <si>
    <t>E.3.3.12</t>
  </si>
  <si>
    <t>E.3.3.13</t>
  </si>
  <si>
    <t>E.3.3.14</t>
  </si>
  <si>
    <t>E.3.3.15</t>
  </si>
  <si>
    <t>E.3.3.16</t>
  </si>
  <si>
    <t>E.3.3.18</t>
  </si>
  <si>
    <t>E.3.3.17</t>
  </si>
  <si>
    <t>E.3.3.19</t>
  </si>
  <si>
    <t>E.3.3.20</t>
  </si>
  <si>
    <t>E.3.3.21</t>
  </si>
  <si>
    <t>E.3.3.22</t>
  </si>
  <si>
    <t>E.3.3.23</t>
  </si>
  <si>
    <t>E.3.3.24</t>
  </si>
  <si>
    <t>E.3.3.25</t>
  </si>
  <si>
    <t>E.3.3.26</t>
  </si>
  <si>
    <t>E.3.3.27</t>
  </si>
  <si>
    <t>E.3.3.28</t>
  </si>
  <si>
    <t>E.3.3.29</t>
  </si>
  <si>
    <t>E.3.3.30</t>
  </si>
  <si>
    <t>E.3.3.31</t>
  </si>
  <si>
    <t>E.3.3.32</t>
  </si>
  <si>
    <t>E.3.3.33</t>
  </si>
  <si>
    <t>E.3.3.34</t>
  </si>
  <si>
    <t>E.3.3.35</t>
  </si>
  <si>
    <t>E.3.3.36</t>
  </si>
  <si>
    <t>E.3.3.37</t>
  </si>
  <si>
    <t>E.3.3.38</t>
  </si>
  <si>
    <t>E.3.3.39</t>
  </si>
  <si>
    <t>E.3.3.40</t>
  </si>
  <si>
    <t>E.3.3.41</t>
  </si>
  <si>
    <t>E.3.3.42</t>
  </si>
  <si>
    <t>E.3.3.43</t>
  </si>
  <si>
    <t>E.3.2.2</t>
  </si>
  <si>
    <t>E.3.2.3</t>
  </si>
  <si>
    <t>E.3.1.4</t>
  </si>
  <si>
    <t>E.3.1.5</t>
  </si>
  <si>
    <t>E.3.1.6</t>
  </si>
  <si>
    <t>E.3.1.7</t>
  </si>
  <si>
    <t>E.3.4</t>
  </si>
  <si>
    <t>E.3.4.1</t>
  </si>
  <si>
    <t>E.3.4.2</t>
  </si>
  <si>
    <t>E.3.4.3</t>
  </si>
  <si>
    <t>E.3.4.4</t>
  </si>
  <si>
    <t>E.3.4.5</t>
  </si>
  <si>
    <t>E.3.4.6</t>
  </si>
  <si>
    <t>E.3.4.7</t>
  </si>
  <si>
    <t>E.3.4.8</t>
  </si>
  <si>
    <t>E.3.4.9</t>
  </si>
  <si>
    <t>E.3.4.10</t>
  </si>
  <si>
    <t>E.3.4.11</t>
  </si>
  <si>
    <t>E.3.4.12</t>
  </si>
  <si>
    <t>E.3.4.13</t>
  </si>
  <si>
    <t>E.3.4.14</t>
  </si>
  <si>
    <t>E.3.4.15</t>
  </si>
  <si>
    <t>E.3.4.16</t>
  </si>
  <si>
    <t>E.3.4.17</t>
  </si>
  <si>
    <t>E.3.4.18</t>
  </si>
  <si>
    <t>E.3.4.19</t>
  </si>
  <si>
    <t>E.3.4.20</t>
  </si>
  <si>
    <t>E.3.4.21</t>
  </si>
  <si>
    <t>E.3.4.22</t>
  </si>
  <si>
    <t>E.3.4.23</t>
  </si>
  <si>
    <t>E.3.5</t>
  </si>
  <si>
    <t>E.3.5.1</t>
  </si>
  <si>
    <t>C.4</t>
  </si>
  <si>
    <t>C.4.1</t>
  </si>
  <si>
    <t>C.4.2</t>
  </si>
  <si>
    <t>C.4.3</t>
  </si>
  <si>
    <t>C.4.4</t>
  </si>
  <si>
    <t>TOTAL SCHEDULE B CARRIED FORWARD TO SUMMARY PAGE
(E.1 + E.2 + E.3)</t>
  </si>
  <si>
    <t>TOTAL SCHEDULE E.1 CARRIED FORWARD TO SUMMARY:</t>
  </si>
  <si>
    <t>TOTAL SCHEDULE E.3 CARRIED FORWARD TO SUMMARY</t>
  </si>
  <si>
    <t>H.1.1.1</t>
  </si>
  <si>
    <t>H.1.1.2</t>
  </si>
  <si>
    <t>H.1.2</t>
  </si>
  <si>
    <t>H.1.2.1</t>
  </si>
  <si>
    <t>H.1.2.2</t>
  </si>
  <si>
    <t>H.1.2.3</t>
  </si>
  <si>
    <t>H.1.2.4</t>
  </si>
  <si>
    <t>H.1.2.5</t>
  </si>
  <si>
    <t>H.1.2.6</t>
  </si>
  <si>
    <t>H.1.2.7</t>
  </si>
  <si>
    <t>H.2.2</t>
  </si>
  <si>
    <t>H.2.2.1</t>
  </si>
  <si>
    <t>H.2.3</t>
  </si>
  <si>
    <t>H.2.3.1</t>
  </si>
  <si>
    <t>H.2.3.2</t>
  </si>
  <si>
    <t>H.2.3.3</t>
  </si>
  <si>
    <t>H.2.3.4</t>
  </si>
  <si>
    <t>H.2.3.5</t>
  </si>
  <si>
    <t>H.2.3.6</t>
  </si>
  <si>
    <t>H.2.3.7</t>
  </si>
  <si>
    <t>H.2.3.8</t>
  </si>
  <si>
    <t>H.2.3.9</t>
  </si>
  <si>
    <t>H.2.3.10</t>
  </si>
  <si>
    <t>H.2.3.11</t>
  </si>
  <si>
    <t>H.2.3.12</t>
  </si>
  <si>
    <t>H.2.3.13</t>
  </si>
  <si>
    <t>H.2.4</t>
  </si>
  <si>
    <t>H.2.4.1</t>
  </si>
  <si>
    <t>H.2.5</t>
  </si>
  <si>
    <t>H.2.5.1</t>
  </si>
  <si>
    <t>H.3.1</t>
  </si>
  <si>
    <t>H.3.1.1</t>
  </si>
  <si>
    <t>H.3.2</t>
  </si>
  <si>
    <t>H.3.2.1</t>
  </si>
  <si>
    <t>H.3.2.2</t>
  </si>
  <si>
    <t>H.3.2.3</t>
  </si>
  <si>
    <t>H.3.2.4</t>
  </si>
  <si>
    <t>H.3.2.5</t>
  </si>
  <si>
    <t>H.3.2.6</t>
  </si>
  <si>
    <t>H.3.3</t>
  </si>
  <si>
    <t>H.3.3.1</t>
  </si>
  <si>
    <t>H.3.3.2</t>
  </si>
  <si>
    <t>H.3.4</t>
  </si>
  <si>
    <t>H.3.4.1</t>
  </si>
  <si>
    <t>H.3.4.2</t>
  </si>
  <si>
    <t>H.3.4.3</t>
  </si>
  <si>
    <t>F.1</t>
  </si>
  <si>
    <t>F.2</t>
  </si>
  <si>
    <t>F.3</t>
  </si>
  <si>
    <t>TOTAL SCHEDULE F CARRIED FORWARD TO SUMMARY PAGE
(F.1 + F.2 + F.3)</t>
  </si>
  <si>
    <t>SUMMARY OF SECTIONS - SCHEDULE F</t>
  </si>
  <si>
    <t>SUMMARY OF SECTIONS - SCHEDULE E</t>
  </si>
  <si>
    <t>F.1.1</t>
  </si>
  <si>
    <t>F.1.1.1</t>
  </si>
  <si>
    <t>F.1.1.2</t>
  </si>
  <si>
    <t>F.1.1.3</t>
  </si>
  <si>
    <t>F.1.2</t>
  </si>
  <si>
    <t>F.1.2.1</t>
  </si>
  <si>
    <t>F.1.2.2</t>
  </si>
  <si>
    <t>F.1.2.3</t>
  </si>
  <si>
    <t>F.1.2.4</t>
  </si>
  <si>
    <t>F.1.2.5</t>
  </si>
  <si>
    <t>F.1.2.6</t>
  </si>
  <si>
    <t>F.1.3</t>
  </si>
  <si>
    <t>F.1.3.1</t>
  </si>
  <si>
    <t>F.1.3.2</t>
  </si>
  <si>
    <t>F.1.3.3</t>
  </si>
  <si>
    <t>F.1.3.4</t>
  </si>
  <si>
    <t>F.1.3.5</t>
  </si>
  <si>
    <t>F.1.3.6</t>
  </si>
  <si>
    <t>F.1.3.7</t>
  </si>
  <si>
    <t>F.1.3.8</t>
  </si>
  <si>
    <t>F.1.3.9</t>
  </si>
  <si>
    <t>F.1.3.10</t>
  </si>
  <si>
    <t>F.1.3.11</t>
  </si>
  <si>
    <t>F.1.3.12</t>
  </si>
  <si>
    <t>F.1.3.13</t>
  </si>
  <si>
    <t>F.1.3.14</t>
  </si>
  <si>
    <t>F.1.3.15</t>
  </si>
  <si>
    <t>F.1.3.16</t>
  </si>
  <si>
    <t>F.1.3.17</t>
  </si>
  <si>
    <t>F.1.3.18</t>
  </si>
  <si>
    <t>F.1.3.19</t>
  </si>
  <si>
    <t>F.1.3.20</t>
  </si>
  <si>
    <t>F.1.3.21</t>
  </si>
  <si>
    <t>F.1.3.22</t>
  </si>
  <si>
    <t>F.1.3.23</t>
  </si>
  <si>
    <t>F.1.3.24</t>
  </si>
  <si>
    <t>F.1.3.25</t>
  </si>
  <si>
    <t>F.1.3.26</t>
  </si>
  <si>
    <t>F.1.3.27</t>
  </si>
  <si>
    <t>F.1.3.28</t>
  </si>
  <si>
    <t>F.1.3.29</t>
  </si>
  <si>
    <t>F.1.3.30</t>
  </si>
  <si>
    <t>F.1.3.31</t>
  </si>
  <si>
    <t>F.1.3.32</t>
  </si>
  <si>
    <t>F.1.3.33</t>
  </si>
  <si>
    <t>F.1.3.34</t>
  </si>
  <si>
    <t>F.1.3.35</t>
  </si>
  <si>
    <t>F.1.3.36</t>
  </si>
  <si>
    <t>F.1.3.37</t>
  </si>
  <si>
    <t>F.1.4</t>
  </si>
  <si>
    <t>F.1.4.1</t>
  </si>
  <si>
    <t>F.1.4.2</t>
  </si>
  <si>
    <t>F.1.4.3</t>
  </si>
  <si>
    <t>F.1.4.4</t>
  </si>
  <si>
    <t>F.1.4.5</t>
  </si>
  <si>
    <t>F.1.4.6</t>
  </si>
  <si>
    <t>F.1.4.7</t>
  </si>
  <si>
    <t>F.1.4.8</t>
  </si>
  <si>
    <t>F.1.4.9</t>
  </si>
  <si>
    <t>F.1.4.10</t>
  </si>
  <si>
    <t>F.1.4.11</t>
  </si>
  <si>
    <t>F.2.1</t>
  </si>
  <si>
    <t>F.2.1.1</t>
  </si>
  <si>
    <t>F.2.1.2</t>
  </si>
  <si>
    <t>F.2.1.3</t>
  </si>
  <si>
    <t>F.2.1.4</t>
  </si>
  <si>
    <t>F.2.2</t>
  </si>
  <si>
    <t>F.2.2.1</t>
  </si>
  <si>
    <t>F.2.2.2</t>
  </si>
  <si>
    <t>F.2.3</t>
  </si>
  <si>
    <t>F.2.3.1</t>
  </si>
  <si>
    <t>F.2.3.2</t>
  </si>
  <si>
    <t>F.2.3.3</t>
  </si>
  <si>
    <t>F.2.3.4</t>
  </si>
  <si>
    <t>F.2.3.5</t>
  </si>
  <si>
    <t>F.2.3.6</t>
  </si>
  <si>
    <t>F.2.3.7</t>
  </si>
  <si>
    <t>F.2.3.8</t>
  </si>
  <si>
    <t>F.2.3.9</t>
  </si>
  <si>
    <t>F.2.3.10</t>
  </si>
  <si>
    <t>F.2.3.11</t>
  </si>
  <si>
    <t>F.2.3.12</t>
  </si>
  <si>
    <t>F.2.3.13</t>
  </si>
  <si>
    <t>F.2.3.14</t>
  </si>
  <si>
    <t>F.2.3.15</t>
  </si>
  <si>
    <t>F.2.3.16</t>
  </si>
  <si>
    <t>F.2.4</t>
  </si>
  <si>
    <t>F.2.4.1</t>
  </si>
  <si>
    <t>F.2.4.2</t>
  </si>
  <si>
    <t>F.2.4.3</t>
  </si>
  <si>
    <t>F.2.4.4</t>
  </si>
  <si>
    <t>F.2.4.5</t>
  </si>
  <si>
    <t>F.2.4.6</t>
  </si>
  <si>
    <t>F.2.5</t>
  </si>
  <si>
    <t>F.2.5.1</t>
  </si>
  <si>
    <t>F.3.1</t>
  </si>
  <si>
    <t>F.3.1.1</t>
  </si>
  <si>
    <t>F.3.1.2</t>
  </si>
  <si>
    <t>F.3.1.3</t>
  </si>
  <si>
    <t>F.3.2</t>
  </si>
  <si>
    <t>F.3.2.1</t>
  </si>
  <si>
    <t>F.3.2.2</t>
  </si>
  <si>
    <t>F.3.2.3</t>
  </si>
  <si>
    <t>F.3.2.4</t>
  </si>
  <si>
    <t>F.3.2.5</t>
  </si>
  <si>
    <t>F.3.2.6</t>
  </si>
  <si>
    <t>F.3.3</t>
  </si>
  <si>
    <t>F.3.3.1</t>
  </si>
  <si>
    <t>F.3.3.2</t>
  </si>
  <si>
    <t>F.3.3.3</t>
  </si>
  <si>
    <t>F.3.3.4</t>
  </si>
  <si>
    <t>F.3.3.5</t>
  </si>
  <si>
    <t>F.3.3.6</t>
  </si>
  <si>
    <t>F.3.3.7</t>
  </si>
  <si>
    <t>F.3.3.8</t>
  </si>
  <si>
    <t>F.3.3.9</t>
  </si>
  <si>
    <t>F.3.3.10</t>
  </si>
  <si>
    <t>F.3.3.11</t>
  </si>
  <si>
    <t>F.3.3.12</t>
  </si>
  <si>
    <t>F.3.3.13</t>
  </si>
  <si>
    <t>F.3.3.14</t>
  </si>
  <si>
    <t>F.3.3.15</t>
  </si>
  <si>
    <t>F.3.3.16</t>
  </si>
  <si>
    <t>F.3.3.17</t>
  </si>
  <si>
    <t>F.3.4</t>
  </si>
  <si>
    <t>F.3.4.1</t>
  </si>
  <si>
    <t>F.3.4.2</t>
  </si>
  <si>
    <t>F.3.4.3</t>
  </si>
  <si>
    <t>F.3.4.4</t>
  </si>
  <si>
    <t>F.3.4.5</t>
  </si>
  <si>
    <t>F.3.4.6</t>
  </si>
  <si>
    <t>F.3.4.7</t>
  </si>
  <si>
    <t>F.3.4.8</t>
  </si>
  <si>
    <t>F.3.4.9</t>
  </si>
  <si>
    <t>F.3.4.10</t>
  </si>
  <si>
    <t>F.3.4.11</t>
  </si>
  <si>
    <t>F.3.4.12</t>
  </si>
  <si>
    <t>F.3.4.13</t>
  </si>
  <si>
    <t>F.3.5</t>
  </si>
  <si>
    <t>F.3.5.1</t>
  </si>
  <si>
    <t>F.3.5.2</t>
  </si>
  <si>
    <t>F.3.5.3</t>
  </si>
  <si>
    <t>F.3.5.4</t>
  </si>
  <si>
    <t>F.3.5.5</t>
  </si>
  <si>
    <t>TOTAL SCHEDULE F.3 CARRIED FORWARD TO SUMMARY</t>
  </si>
  <si>
    <t>TOTAL SCHEDULE F.2 CARRIED FORWARD TO SUMMARY</t>
  </si>
  <si>
    <t>TOTAL SCHEDULE F.1 CARRIED FORWARD TO SUMMARY</t>
  </si>
  <si>
    <t>G.1.1</t>
  </si>
  <si>
    <t>G.1.2</t>
  </si>
  <si>
    <t>G.1.3</t>
  </si>
  <si>
    <t>G.1.4</t>
  </si>
  <si>
    <t>G.1.5</t>
  </si>
  <si>
    <t>G.1.6</t>
  </si>
  <si>
    <t>G.2.1</t>
  </si>
  <si>
    <t>G.2.2</t>
  </si>
  <si>
    <t>G.2.3</t>
  </si>
  <si>
    <t>G.2.4</t>
  </si>
  <si>
    <t>G.2.5</t>
  </si>
  <si>
    <t>G.2.6</t>
  </si>
  <si>
    <t>G.2.7</t>
  </si>
  <si>
    <t>G.2.8</t>
  </si>
  <si>
    <t>G.2.9</t>
  </si>
  <si>
    <t>G.2.10</t>
  </si>
  <si>
    <t>G.2.11</t>
  </si>
  <si>
    <t>G.2.12</t>
  </si>
  <si>
    <t>G.2.13</t>
  </si>
  <si>
    <t>G.2.14</t>
  </si>
  <si>
    <t>G.2.15</t>
  </si>
  <si>
    <t>G.2.16</t>
  </si>
  <si>
    <t>G.2.17</t>
  </si>
  <si>
    <t>G.2.18</t>
  </si>
  <si>
    <t>G.2.19</t>
  </si>
  <si>
    <t>G.2.20</t>
  </si>
  <si>
    <t>G.2.21</t>
  </si>
  <si>
    <t>TOTAL SCHEDULE G.1 CARRIED FORWARD TO SUMMARY</t>
  </si>
  <si>
    <t>TOTAL SCHEDULE G.2 CARRIED FORWARD TO SUMMARY</t>
  </si>
  <si>
    <t>G.3.2.15</t>
  </si>
  <si>
    <t>G.3.2.16</t>
  </si>
  <si>
    <t>G.5.3</t>
  </si>
  <si>
    <t>G.5.3.1</t>
  </si>
  <si>
    <t>G.5.3.2</t>
  </si>
  <si>
    <t>G.5.3.3</t>
  </si>
  <si>
    <t>G.5.4</t>
  </si>
  <si>
    <t>G.5.5</t>
  </si>
  <si>
    <t>G.5.5.1</t>
  </si>
  <si>
    <t>G.5.5.2</t>
  </si>
  <si>
    <t>G.5.5.3</t>
  </si>
  <si>
    <t>G.5.5.4</t>
  </si>
  <si>
    <t>G.5.5.5</t>
  </si>
  <si>
    <t>SUMMARY OF SECTIONS - SCHEDULE G</t>
  </si>
  <si>
    <t>TOTAL SCHEDULE G CARRIED FORWARD TO SUMMARY PAGE
(G.1 + G.2 + G.3 + G.4 + G.5)</t>
  </si>
  <si>
    <t>H.1.2.8</t>
  </si>
  <si>
    <t>H.1.2.9</t>
  </si>
  <si>
    <t>H.1.2.10</t>
  </si>
  <si>
    <t>H.3.2.7</t>
  </si>
  <si>
    <t>H.3.2.8</t>
  </si>
  <si>
    <t>H.3.2.9</t>
  </si>
  <si>
    <t>H.3.2.10</t>
  </si>
  <si>
    <t>H.3.2.11</t>
  </si>
  <si>
    <t>H.3.2.12</t>
  </si>
  <si>
    <t>H.3.2.13</t>
  </si>
  <si>
    <t>H.3.2.14</t>
  </si>
  <si>
    <t>H.3.2.15</t>
  </si>
  <si>
    <t>H.3.2.16</t>
  </si>
  <si>
    <t>H.4.1</t>
  </si>
  <si>
    <t>H.4.1.1</t>
  </si>
  <si>
    <t>H.4.2</t>
  </si>
  <si>
    <t>H.4.2.1</t>
  </si>
  <si>
    <t>H.4.2.2</t>
  </si>
  <si>
    <t>H.4.3</t>
  </si>
  <si>
    <t>H.4.3.1</t>
  </si>
  <si>
    <t>H.4.3.2</t>
  </si>
  <si>
    <t>H.4.4</t>
  </si>
  <si>
    <t>H.4.4.1</t>
  </si>
  <si>
    <t>H.4.4.2</t>
  </si>
  <si>
    <t>H.4.4.3</t>
  </si>
  <si>
    <t>H.4.4.4</t>
  </si>
  <si>
    <t>H.4.4.5</t>
  </si>
  <si>
    <t>H.4.4.6</t>
  </si>
  <si>
    <t>H.5.1</t>
  </si>
  <si>
    <t>H.5.1.1</t>
  </si>
  <si>
    <t>H.5.1.2</t>
  </si>
  <si>
    <t>H.5.2</t>
  </si>
  <si>
    <t>H.5.2.1</t>
  </si>
  <si>
    <t>H.5.2.2</t>
  </si>
  <si>
    <t>H.5.2.3</t>
  </si>
  <si>
    <t>H.5.3</t>
  </si>
  <si>
    <t>H.5.3.1</t>
  </si>
  <si>
    <t>H.5.3.2</t>
  </si>
  <si>
    <t>H.5.3.3</t>
  </si>
  <si>
    <t>H.5.3.4</t>
  </si>
  <si>
    <t>H.5.3.5</t>
  </si>
  <si>
    <t>H.5.3.6</t>
  </si>
  <si>
    <t>H.5.3.7</t>
  </si>
  <si>
    <t>H.5.3.8</t>
  </si>
  <si>
    <t>H.5.3.9</t>
  </si>
  <si>
    <t>H.5.3.10</t>
  </si>
  <si>
    <t>H.5.3.11</t>
  </si>
  <si>
    <t>H.5.3.12</t>
  </si>
  <si>
    <t>H.5.3.13</t>
  </si>
  <si>
    <t>H.5.3.14</t>
  </si>
  <si>
    <t>H.5.4</t>
  </si>
  <si>
    <t>H.5.4.1</t>
  </si>
  <si>
    <t>H.5.4.2</t>
  </si>
  <si>
    <t>H.5.4.3</t>
  </si>
  <si>
    <t>H.5.4.4</t>
  </si>
  <si>
    <t>H.5.4.5</t>
  </si>
  <si>
    <t>H.5.4.6</t>
  </si>
  <si>
    <t>H.5.4.7</t>
  </si>
  <si>
    <t>H.5.4.8</t>
  </si>
  <si>
    <t>H.5.4.9</t>
  </si>
  <si>
    <t>H.5.5</t>
  </si>
  <si>
    <t>H.5.5.1</t>
  </si>
  <si>
    <t>H.5.6</t>
  </si>
  <si>
    <t>H.5.6.1</t>
  </si>
  <si>
    <t>H.5.6.2</t>
  </si>
  <si>
    <t>H.5.6.3</t>
  </si>
  <si>
    <t>H.5.6.4</t>
  </si>
  <si>
    <t>H.5.6.5</t>
  </si>
  <si>
    <t>TOTAL SCHEDULE H CARRIED FORWARD TO SUMMARY PAGE
(H.1 + H.2 + H.3 + H.4 + H.5)</t>
  </si>
  <si>
    <t>SUMMARY OF SECTIONS - SCHEDULE H</t>
  </si>
  <si>
    <t>I.TEM</t>
  </si>
  <si>
    <t>I.1.1.1</t>
  </si>
  <si>
    <t>I.1.1.2</t>
  </si>
  <si>
    <t>I.1.1.3</t>
  </si>
  <si>
    <t>I.1.1.4</t>
  </si>
  <si>
    <t>I.1.1.5</t>
  </si>
  <si>
    <t>I.1.1.6</t>
  </si>
  <si>
    <t>I.1.1.7</t>
  </si>
  <si>
    <t>I.1.2.1</t>
  </si>
  <si>
    <t>I.1.2.2</t>
  </si>
  <si>
    <t>I.1.2.3</t>
  </si>
  <si>
    <t>I.1.2.4</t>
  </si>
  <si>
    <t>I.1.2.5</t>
  </si>
  <si>
    <t>I.1.2.6</t>
  </si>
  <si>
    <t>I.1.3</t>
  </si>
  <si>
    <t>I.1.3.1</t>
  </si>
  <si>
    <t>I.1.3.2</t>
  </si>
  <si>
    <t>I.1.3.3</t>
  </si>
  <si>
    <t>I.1.3.4</t>
  </si>
  <si>
    <t>I.1.4</t>
  </si>
  <si>
    <t>I.1.4.1</t>
  </si>
  <si>
    <t>I.1.5</t>
  </si>
  <si>
    <t>I.1.5.1</t>
  </si>
  <si>
    <t>I.1.6</t>
  </si>
  <si>
    <t>I.1.6.1</t>
  </si>
  <si>
    <t>I.1.5.2</t>
  </si>
  <si>
    <t>I.1.5.3</t>
  </si>
  <si>
    <t>I.1.5.4</t>
  </si>
  <si>
    <t>I.1.5.5</t>
  </si>
  <si>
    <t>I.1.6.2</t>
  </si>
  <si>
    <t>I.1.6.3</t>
  </si>
  <si>
    <t>I.1.7</t>
  </si>
  <si>
    <t>I.1.7.1</t>
  </si>
  <si>
    <t>I.1.7.2</t>
  </si>
  <si>
    <t>I.1.7.4</t>
  </si>
  <si>
    <t>I.1.7.5</t>
  </si>
  <si>
    <t>I.1.8</t>
  </si>
  <si>
    <t>I.1.8.1</t>
  </si>
  <si>
    <t>I.1.8.2</t>
  </si>
  <si>
    <t>I.1.8.3</t>
  </si>
  <si>
    <t>I.1.8.4</t>
  </si>
  <si>
    <t>I.1.8.5</t>
  </si>
  <si>
    <t>I.1.8.6</t>
  </si>
  <si>
    <t>I.1.8.7</t>
  </si>
  <si>
    <t>I.1.8.8</t>
  </si>
  <si>
    <t>I.1.9</t>
  </si>
  <si>
    <t>I.1.9.1</t>
  </si>
  <si>
    <t>I.1.10</t>
  </si>
  <si>
    <t>I.1.11</t>
  </si>
  <si>
    <t>I.1.11.1</t>
  </si>
  <si>
    <t>I.1.12</t>
  </si>
  <si>
    <t>I.1.12.1</t>
  </si>
  <si>
    <t>I.1.12.2</t>
  </si>
  <si>
    <t>I.2</t>
  </si>
  <si>
    <t>I.2.1.1</t>
  </si>
  <si>
    <t>I.2.1.2</t>
  </si>
  <si>
    <t>I.2.1.3</t>
  </si>
  <si>
    <t>I.2.1.4</t>
  </si>
  <si>
    <t>I.2.1.5</t>
  </si>
  <si>
    <t>I.2.2</t>
  </si>
  <si>
    <t>I.2.2.1</t>
  </si>
  <si>
    <t>I.2.2.2</t>
  </si>
  <si>
    <t>I.2.3</t>
  </si>
  <si>
    <t>I.2.4</t>
  </si>
  <si>
    <t>I.2.4.1</t>
  </si>
  <si>
    <t>I.2.4.2</t>
  </si>
  <si>
    <t>I.2.5</t>
  </si>
  <si>
    <t>I.2.5.1</t>
  </si>
  <si>
    <t>I.2.6</t>
  </si>
  <si>
    <t>I.2.6.1</t>
  </si>
  <si>
    <t>I.2.7</t>
  </si>
  <si>
    <t>I.2.7.1</t>
  </si>
  <si>
    <t>I.2.8</t>
  </si>
  <si>
    <t>I.2.8.1</t>
  </si>
  <si>
    <t>I.2.8.2</t>
  </si>
  <si>
    <t>I.3</t>
  </si>
  <si>
    <t>I.3.1.1</t>
  </si>
  <si>
    <t>I.3.1.2</t>
  </si>
  <si>
    <t>I.3.2.3</t>
  </si>
  <si>
    <t>I.3.2.4</t>
  </si>
  <si>
    <t>I.3.2.5</t>
  </si>
  <si>
    <t>I.3.1.6</t>
  </si>
  <si>
    <t>I.3.1.7</t>
  </si>
  <si>
    <t>I.3.2</t>
  </si>
  <si>
    <t>I.3.2.1</t>
  </si>
  <si>
    <t>I.3.2.2</t>
  </si>
  <si>
    <t>I.3.2.6</t>
  </si>
  <si>
    <t>I.3.3</t>
  </si>
  <si>
    <t>I.3.3.1</t>
  </si>
  <si>
    <t>I.3.3.2</t>
  </si>
  <si>
    <t>I.3.3.3</t>
  </si>
  <si>
    <t>I.3.3.4</t>
  </si>
  <si>
    <t>I.3.4</t>
  </si>
  <si>
    <t>I.3.4.1</t>
  </si>
  <si>
    <t>I.3.4.2</t>
  </si>
  <si>
    <t>I.3.4.3</t>
  </si>
  <si>
    <t>I.3.4.4</t>
  </si>
  <si>
    <t>I.3.5</t>
  </si>
  <si>
    <t>I.3.5.1</t>
  </si>
  <si>
    <t>I.3.5.2</t>
  </si>
  <si>
    <t>I.3.5.3</t>
  </si>
  <si>
    <t>I.3.5.4</t>
  </si>
  <si>
    <t>I.3.5.5</t>
  </si>
  <si>
    <t>I.3.6</t>
  </si>
  <si>
    <t>I.3.6.1</t>
  </si>
  <si>
    <t>I.3.6.2</t>
  </si>
  <si>
    <t>I.3.6.3</t>
  </si>
  <si>
    <t>I.1.3.7</t>
  </si>
  <si>
    <t>I.3.8</t>
  </si>
  <si>
    <t>I.3.8.1</t>
  </si>
  <si>
    <t>I.3.8.2</t>
  </si>
  <si>
    <t>I.3.8.4</t>
  </si>
  <si>
    <t>I.3.8.5</t>
  </si>
  <si>
    <t>I.3.9</t>
  </si>
  <si>
    <t>I.3.9.1</t>
  </si>
  <si>
    <t>I.3.9.2</t>
  </si>
  <si>
    <t>I.3.9.3</t>
  </si>
  <si>
    <t>I.3.9.4</t>
  </si>
  <si>
    <t>I.3.9.5</t>
  </si>
  <si>
    <t>I.3.10</t>
  </si>
  <si>
    <t>I.3.11</t>
  </si>
  <si>
    <t>I.3.12</t>
  </si>
  <si>
    <t>I.3.12.1</t>
  </si>
  <si>
    <t>I.4</t>
  </si>
  <si>
    <t>I.4.1.1</t>
  </si>
  <si>
    <t>I.4.2</t>
  </si>
  <si>
    <t>I.4.2.1</t>
  </si>
  <si>
    <t>I.4.2.2</t>
  </si>
  <si>
    <t>I.4.2.3</t>
  </si>
  <si>
    <t>I.4.2.4</t>
  </si>
  <si>
    <t>I.4.2.5</t>
  </si>
  <si>
    <t>I.4.2.6</t>
  </si>
  <si>
    <t>I.4.3</t>
  </si>
  <si>
    <t>I.4.3.1</t>
  </si>
  <si>
    <t>I.4.3.2</t>
  </si>
  <si>
    <t>I.4.3.3</t>
  </si>
  <si>
    <t>I.4.3.4</t>
  </si>
  <si>
    <t>I.4.4</t>
  </si>
  <si>
    <t>I.4.4.1</t>
  </si>
  <si>
    <t>I.4.4.2</t>
  </si>
  <si>
    <t>I.4.4.3</t>
  </si>
  <si>
    <t>I.4.4.4</t>
  </si>
  <si>
    <t>I.4.4.5</t>
  </si>
  <si>
    <t>I.4.6</t>
  </si>
  <si>
    <t>I.4.6.1</t>
  </si>
  <si>
    <t>I.4.6.2</t>
  </si>
  <si>
    <t>I.4.6.3</t>
  </si>
  <si>
    <t>I.5</t>
  </si>
  <si>
    <t>I.5.1.1</t>
  </si>
  <si>
    <t>I.5.2</t>
  </si>
  <si>
    <t>I.5.2.1</t>
  </si>
  <si>
    <t>I.5.2.2</t>
  </si>
  <si>
    <t>I.5.2.3</t>
  </si>
  <si>
    <t>I.5.2.4</t>
  </si>
  <si>
    <t>I.5.2.5</t>
  </si>
  <si>
    <t>I.5.3</t>
  </si>
  <si>
    <t>I.5.3.1</t>
  </si>
  <si>
    <t>I.5.3.2</t>
  </si>
  <si>
    <t>I.5.3.3</t>
  </si>
  <si>
    <t>I.5.4</t>
  </si>
  <si>
    <t>I.1.1.8</t>
  </si>
  <si>
    <t>I.1.1.9</t>
  </si>
  <si>
    <t>I.1.2</t>
  </si>
  <si>
    <t>I.1.2.7</t>
  </si>
  <si>
    <t>I.1.3.5</t>
  </si>
  <si>
    <t>I.1.3.6</t>
  </si>
  <si>
    <t>I.1.3.8</t>
  </si>
  <si>
    <t>I.1.3.9</t>
  </si>
  <si>
    <t>I.1.3.10</t>
  </si>
  <si>
    <t>I.1.3.11</t>
  </si>
  <si>
    <t>I.1.3.12</t>
  </si>
  <si>
    <t>I.1.3.13</t>
  </si>
  <si>
    <t>I.1.3.14</t>
  </si>
  <si>
    <t>I.1.4.2</t>
  </si>
  <si>
    <t>I.1.4.3</t>
  </si>
  <si>
    <t>I.1.4.4</t>
  </si>
  <si>
    <t>I.1.4.5</t>
  </si>
  <si>
    <t>I.1.4.6</t>
  </si>
  <si>
    <t>I.1.4.7</t>
  </si>
  <si>
    <t>I.1.4.8</t>
  </si>
  <si>
    <t>I.1.4.9</t>
  </si>
  <si>
    <t>I.1.6.4</t>
  </si>
  <si>
    <t>I.1.7.3</t>
  </si>
  <si>
    <t>I.1.7.6</t>
  </si>
  <si>
    <t>I.1.7.7</t>
  </si>
  <si>
    <t>I.1.7.8</t>
  </si>
  <si>
    <t>I.1.7.9</t>
  </si>
  <si>
    <t>I.1.7.10</t>
  </si>
  <si>
    <t>I.1.7.11</t>
  </si>
  <si>
    <t>I.1.7.12</t>
  </si>
  <si>
    <t>I.1.7.13</t>
  </si>
  <si>
    <t>I.1.7.15</t>
  </si>
  <si>
    <t>I.1.7.16</t>
  </si>
  <si>
    <t>I.1.7.18</t>
  </si>
  <si>
    <t>I.1.7.17</t>
  </si>
  <si>
    <t>I.1.7.19</t>
  </si>
  <si>
    <t>I.1.7.20</t>
  </si>
  <si>
    <t>I.1.7.21</t>
  </si>
  <si>
    <t>I.1.10.1</t>
  </si>
  <si>
    <t>I.1.11.2</t>
  </si>
  <si>
    <t>I.1.12.3</t>
  </si>
  <si>
    <t>TOTAL SCHEDULE I.1 CARRIED FORWARD TO SUMMARY:</t>
  </si>
  <si>
    <t>I.2.1.6</t>
  </si>
  <si>
    <t>I.2.2.3</t>
  </si>
  <si>
    <t>I.2.2.4</t>
  </si>
  <si>
    <t>I.2.2.5</t>
  </si>
  <si>
    <t>I.2.2.6</t>
  </si>
  <si>
    <t>I.2.2.8</t>
  </si>
  <si>
    <t>I.2.2.7</t>
  </si>
  <si>
    <t>I.2.2.9</t>
  </si>
  <si>
    <t>I.2.2.10</t>
  </si>
  <si>
    <t>I.2.2.11</t>
  </si>
  <si>
    <t>I.2.2.12</t>
  </si>
  <si>
    <t>I.2.3.1</t>
  </si>
  <si>
    <t>I.2.3.2</t>
  </si>
  <si>
    <t>I.2.3.3</t>
  </si>
  <si>
    <t>I.2.3.4</t>
  </si>
  <si>
    <t>I.2.3.5</t>
  </si>
  <si>
    <t>I.2.3.6</t>
  </si>
  <si>
    <t>I.2.4.3</t>
  </si>
  <si>
    <t>I.2.4.4</t>
  </si>
  <si>
    <t>I.2.5.2</t>
  </si>
  <si>
    <t>I.2.5.3</t>
  </si>
  <si>
    <t>I.2.5.4</t>
  </si>
  <si>
    <t>I.2.5.5</t>
  </si>
  <si>
    <t>I.2.5.6</t>
  </si>
  <si>
    <t>I.2.5.7</t>
  </si>
  <si>
    <t>I.2.5.8</t>
  </si>
  <si>
    <t>I.2.5.9</t>
  </si>
  <si>
    <t>I.2.5.10</t>
  </si>
  <si>
    <t>I.2.5.11</t>
  </si>
  <si>
    <t>I.2.5.12</t>
  </si>
  <si>
    <t>I.2.5.13</t>
  </si>
  <si>
    <t>I.2.5.14</t>
  </si>
  <si>
    <t>I.2.5.15</t>
  </si>
  <si>
    <t>I.2.5.16</t>
  </si>
  <si>
    <t>I.2.5.17</t>
  </si>
  <si>
    <t>I.2.5.18</t>
  </si>
  <si>
    <t>I.2.5.19</t>
  </si>
  <si>
    <t>I.2.5.20</t>
  </si>
  <si>
    <t>I.2.5.21</t>
  </si>
  <si>
    <t>I.2.5.22</t>
  </si>
  <si>
    <t>I.2.5.23</t>
  </si>
  <si>
    <t>I.2.5.24</t>
  </si>
  <si>
    <t>I.3.1.3</t>
  </si>
  <si>
    <t>I.3.1.4</t>
  </si>
  <si>
    <t>I.3.1.5</t>
  </si>
  <si>
    <t>I.3.1.8</t>
  </si>
  <si>
    <t>I.3.1.9</t>
  </si>
  <si>
    <t>I.3.2.7</t>
  </si>
  <si>
    <t>I.3.3.5</t>
  </si>
  <si>
    <t>I.3.3.6</t>
  </si>
  <si>
    <t>I.3.3.7</t>
  </si>
  <si>
    <t>I.3.3.8</t>
  </si>
  <si>
    <t>I.3.3.9</t>
  </si>
  <si>
    <t>I.3.3.10</t>
  </si>
  <si>
    <t>I.3.3.11</t>
  </si>
  <si>
    <t>I.3.3.12</t>
  </si>
  <si>
    <t>I.3.3.13</t>
  </si>
  <si>
    <t>I.3.4.5</t>
  </si>
  <si>
    <t>I.3.4.6</t>
  </si>
  <si>
    <t>I.3.6.4</t>
  </si>
  <si>
    <t>I.3.6.5</t>
  </si>
  <si>
    <t>I.3.6.6</t>
  </si>
  <si>
    <t>I.3.6.7</t>
  </si>
  <si>
    <t>I.3.6.8</t>
  </si>
  <si>
    <t>I.3.6.9</t>
  </si>
  <si>
    <t>I.3.6.10</t>
  </si>
  <si>
    <t>I.3.6.11</t>
  </si>
  <si>
    <t>I.3.6.12</t>
  </si>
  <si>
    <t>I.3.7</t>
  </si>
  <si>
    <t>I.3.7.1</t>
  </si>
  <si>
    <t>I.3.7.2</t>
  </si>
  <si>
    <t>I.3.7.3</t>
  </si>
  <si>
    <t>I.3.7.4</t>
  </si>
  <si>
    <t>I.3.8.3</t>
  </si>
  <si>
    <t>I.3.8.6</t>
  </si>
  <si>
    <t>I.3.8.7</t>
  </si>
  <si>
    <t>I.3.8.8</t>
  </si>
  <si>
    <t>I.3.8.10</t>
  </si>
  <si>
    <t>I.3.8.11</t>
  </si>
  <si>
    <t>I.3.8.12</t>
  </si>
  <si>
    <t>I.3.8.13</t>
  </si>
  <si>
    <t>I.3.8.14</t>
  </si>
  <si>
    <t>I.3.8.15</t>
  </si>
  <si>
    <t>I.3.8.16</t>
  </si>
  <si>
    <t>I.3.8.17</t>
  </si>
  <si>
    <t>I.3.8.18</t>
  </si>
  <si>
    <t>I.3.8.9</t>
  </si>
  <si>
    <t>I.3.8.20</t>
  </si>
  <si>
    <t>I.3.8.19</t>
  </si>
  <si>
    <t>I..3.10.1</t>
  </si>
  <si>
    <t>I.3.12.2</t>
  </si>
  <si>
    <t>I.4.2.7</t>
  </si>
  <si>
    <t>I.4.3.5</t>
  </si>
  <si>
    <t>I.4.3.6</t>
  </si>
  <si>
    <t>I.4.3.7</t>
  </si>
  <si>
    <t>I.4.3.8</t>
  </si>
  <si>
    <t>I.4.4.6</t>
  </si>
  <si>
    <t>I.4.4.7</t>
  </si>
  <si>
    <t>I.4.4.8</t>
  </si>
  <si>
    <t>I.4.5</t>
  </si>
  <si>
    <t>I.4.5.1</t>
  </si>
  <si>
    <t>I.4.5.2</t>
  </si>
  <si>
    <t>I.4.5.3</t>
  </si>
  <si>
    <t>I.4.5.4</t>
  </si>
  <si>
    <t>I.4.6.4</t>
  </si>
  <si>
    <t>I.4.6.5</t>
  </si>
  <si>
    <t>I.4.6.6</t>
  </si>
  <si>
    <t>I.4.6.7</t>
  </si>
  <si>
    <t>I.4.6.8</t>
  </si>
  <si>
    <t>I.4.6.9</t>
  </si>
  <si>
    <t>I.4.6.10</t>
  </si>
  <si>
    <t>AFFECTED AREA 5</t>
  </si>
  <si>
    <t>I.5.2.6</t>
  </si>
  <si>
    <t>I.5.2.7</t>
  </si>
  <si>
    <t>I.5.2.8</t>
  </si>
  <si>
    <t>I.5.2.9</t>
  </si>
  <si>
    <t>I.5.4.1</t>
  </si>
  <si>
    <t>I.5.4.2</t>
  </si>
  <si>
    <t>I.5.4.3</t>
  </si>
  <si>
    <t>TOTAL SCHEDULE I.2 CARRIED FORWARD TO SUMMARY:</t>
  </si>
  <si>
    <t>TOTAL SCHEDULE I.3 CARRIED FORWARD TO SUMMARY:</t>
  </si>
  <si>
    <t>TOTAL SCHEDULE I.4 CARRIED FORWARD TO SUMMARY:</t>
  </si>
  <si>
    <t>TOTAL SCHEDULE I.5 CARRIED FORWARD TO SUMMARY:</t>
  </si>
  <si>
    <t>J.1</t>
  </si>
  <si>
    <t>J.1.1</t>
  </si>
  <si>
    <t>J.1.2</t>
  </si>
  <si>
    <t>J1.2.1</t>
  </si>
  <si>
    <t>J1.3</t>
  </si>
  <si>
    <t>J1.4</t>
  </si>
  <si>
    <t>J.2</t>
  </si>
  <si>
    <t>J.2.1</t>
  </si>
  <si>
    <t>J.2.2</t>
  </si>
  <si>
    <t>J.2.3</t>
  </si>
  <si>
    <t>J.2.3.1</t>
  </si>
  <si>
    <t>J.2.3.2</t>
  </si>
  <si>
    <t>J.2.4</t>
  </si>
  <si>
    <t>J.2.5</t>
  </si>
  <si>
    <t>J.2.6</t>
  </si>
  <si>
    <t>J.2.7</t>
  </si>
  <si>
    <t>J.3</t>
  </si>
  <si>
    <t>J.3.1</t>
  </si>
  <si>
    <t>J.3.1.1</t>
  </si>
  <si>
    <t>J.3.1.2</t>
  </si>
  <si>
    <t>J.3.2</t>
  </si>
  <si>
    <t>J.3.2.1</t>
  </si>
  <si>
    <t>J.3.2.2</t>
  </si>
  <si>
    <t>J.3.2.3</t>
  </si>
  <si>
    <t>J.3.3</t>
  </si>
  <si>
    <t>J.3.3.1</t>
  </si>
  <si>
    <t>J.3.3.2</t>
  </si>
  <si>
    <t>J.3.4</t>
  </si>
  <si>
    <t>J.3.4.1</t>
  </si>
  <si>
    <t>J.3.4.2</t>
  </si>
  <si>
    <t>J.3.5</t>
  </si>
  <si>
    <t>J.3.5.1</t>
  </si>
  <si>
    <t>J.4</t>
  </si>
  <si>
    <t>J.4.1</t>
  </si>
  <si>
    <t>J.4.2</t>
  </si>
  <si>
    <t>J.4.2.1</t>
  </si>
  <si>
    <t>J.4.2.2</t>
  </si>
  <si>
    <t>J.4.2.3</t>
  </si>
  <si>
    <t>J.4.3</t>
  </si>
  <si>
    <t>J.5</t>
  </si>
  <si>
    <t>J.5.1</t>
  </si>
  <si>
    <t>J.5.2</t>
  </si>
  <si>
    <t>J.5.3</t>
  </si>
  <si>
    <t>J.5.3.1</t>
  </si>
  <si>
    <t xml:space="preserve">J.5.4 </t>
  </si>
  <si>
    <t>J.5.4.1</t>
  </si>
  <si>
    <t>J.5.4.2</t>
  </si>
  <si>
    <t>J.5.4.3</t>
  </si>
  <si>
    <t>J.5.4.4</t>
  </si>
  <si>
    <t>J.6</t>
  </si>
  <si>
    <t>J.6.1</t>
  </si>
  <si>
    <t>J.6.1.1</t>
  </si>
  <si>
    <t>J.6.2</t>
  </si>
  <si>
    <t>J.6.2.1</t>
  </si>
  <si>
    <t>J.6.2.2</t>
  </si>
  <si>
    <t>J.6.3</t>
  </si>
  <si>
    <t>J.6.3.1</t>
  </si>
  <si>
    <t>J.6.3.2</t>
  </si>
  <si>
    <t>J.7</t>
  </si>
  <si>
    <t>J.7.1</t>
  </si>
  <si>
    <t>J.7.1.1</t>
  </si>
  <si>
    <t>J.7.1.2</t>
  </si>
  <si>
    <t>J.7.2</t>
  </si>
  <si>
    <t>J.7.3</t>
  </si>
  <si>
    <t>J.7.4</t>
  </si>
  <si>
    <t>J.7.4.1</t>
  </si>
  <si>
    <t>J.7.4.2</t>
  </si>
  <si>
    <t>J.7.4.3</t>
  </si>
  <si>
    <t>J.7.4.4</t>
  </si>
  <si>
    <t>J.7.4.5</t>
  </si>
  <si>
    <t>J.7.4.6</t>
  </si>
  <si>
    <t>J.7.5</t>
  </si>
  <si>
    <t>J.7.6</t>
  </si>
  <si>
    <t xml:space="preserve">J.7.7 </t>
  </si>
  <si>
    <t>J.8</t>
  </si>
  <si>
    <t>J.8.1</t>
  </si>
  <si>
    <t>J.8.2</t>
  </si>
  <si>
    <t>J.8.2.1</t>
  </si>
  <si>
    <t>J.8.3</t>
  </si>
  <si>
    <t>J.8.3.1</t>
  </si>
  <si>
    <t>J.9</t>
  </si>
  <si>
    <t>J.9.1</t>
  </si>
  <si>
    <t>J.9.1.1</t>
  </si>
  <si>
    <t>J.10</t>
  </si>
  <si>
    <t>J.10.1</t>
  </si>
  <si>
    <t>J.10.2</t>
  </si>
  <si>
    <t>J.11</t>
  </si>
  <si>
    <t>J.11.1</t>
  </si>
  <si>
    <t>TOTAL SCHEDULE J CARRIED FORWARD TO SUMMARY:</t>
  </si>
  <si>
    <t>K.1.3.1</t>
  </si>
  <si>
    <t>K.1.3.2</t>
  </si>
  <si>
    <t>K.2.1.1</t>
  </si>
  <si>
    <t>K.2.1.2</t>
  </si>
  <si>
    <t>K.2.2.1</t>
  </si>
  <si>
    <t>K.2.3.1</t>
  </si>
  <si>
    <t>K.2.3.2</t>
  </si>
  <si>
    <t>K.2.4.1</t>
  </si>
  <si>
    <t>K.2.4.2</t>
  </si>
  <si>
    <t>K.3.2.9</t>
  </si>
  <si>
    <t>K.3.2.10</t>
  </si>
  <si>
    <t>K.3.2.11</t>
  </si>
  <si>
    <t>K.3.2.12</t>
  </si>
  <si>
    <t>K.3.2.13</t>
  </si>
  <si>
    <t>K.3.2.14</t>
  </si>
  <si>
    <t>K.3.2.15</t>
  </si>
  <si>
    <t>K.3.2.16</t>
  </si>
  <si>
    <t>SUMMARY OF SECTIONS - SCHEDULE I</t>
  </si>
  <si>
    <t>TOTAL SCHEDULE I CARRIED FORWARD TO SUMMARY PAGE
(I.1 + I.2 + I.3 + I.4 + I.5)</t>
  </si>
  <si>
    <t>AFFECTED AREA 2</t>
  </si>
  <si>
    <t>AFFECTED AREA 3</t>
  </si>
  <si>
    <t>AFFECTED AREA 4</t>
  </si>
  <si>
    <t>New Inlet Works (Civil/Structural)</t>
  </si>
  <si>
    <t>Primary Settling Tank Repairs &amp; Alterations</t>
  </si>
  <si>
    <t>Repairs to Biological Filter and Dosing Siphon</t>
  </si>
  <si>
    <t xml:space="preserve">Repairs &amp; Alterations to Sludge Digester </t>
  </si>
  <si>
    <t xml:space="preserve">Upgrades to Disinfection Facilities </t>
  </si>
  <si>
    <t xml:space="preserve">Repairs, Alterations and Upgrades to emergency Overflow Ponds </t>
  </si>
  <si>
    <t xml:space="preserve">Upstream Catchment Area Repairs </t>
  </si>
  <si>
    <t xml:space="preserve">Second Class Water Storage Tank </t>
  </si>
  <si>
    <r>
      <t xml:space="preserve">Base-to-wall Joints (Detail 5 on Drg </t>
    </r>
    <r>
      <rPr>
        <u/>
        <sz val="9"/>
        <rFont val="Arial"/>
        <family val="2"/>
      </rPr>
      <t>D34843-00C-134-07</t>
    </r>
    <r>
      <rPr>
        <u/>
        <sz val="9"/>
        <color theme="1"/>
        <rFont val="Arial"/>
        <family val="2"/>
      </rPr>
      <t>):</t>
    </r>
  </si>
  <si>
    <t>Base Slab Interface Joint (Detail 7 on Drg D34843-00C-134-07):</t>
  </si>
  <si>
    <t>Construct Concrete kerbing and channeling combined complete as per detail C on Drg D34843-00C-123-01.</t>
  </si>
  <si>
    <r>
      <t>Keyed Construction Joint as per Detail 11</t>
    </r>
    <r>
      <rPr>
        <b/>
        <u/>
        <sz val="9"/>
        <color rgb="FFFF0000"/>
        <rFont val="Arial"/>
        <family val="2"/>
      </rPr>
      <t xml:space="preserve"> </t>
    </r>
    <r>
      <rPr>
        <u/>
        <sz val="9"/>
        <color theme="1"/>
        <rFont val="Arial"/>
        <family val="2"/>
      </rPr>
      <t>on Drg D34843.00C-134-07</t>
    </r>
    <r>
      <rPr>
        <u/>
        <sz val="9"/>
        <rFont val="Arial"/>
        <family val="2"/>
      </rPr>
      <t xml:space="preserve"> for Aprons</t>
    </r>
  </si>
  <si>
    <t>Supply and Install Stainless Steel Gr 304 Cat Ladder as per Drg D34843-00C-134-07 C/W rungs,stringers, brackets etc. for the following nominal lengths:</t>
  </si>
  <si>
    <r>
      <t>Keyed Construction Joint as per Detail 11</t>
    </r>
    <r>
      <rPr>
        <b/>
        <u/>
        <sz val="9"/>
        <color rgb="FFFF0000"/>
        <rFont val="Arial"/>
        <family val="2"/>
      </rPr>
      <t xml:space="preserve"> </t>
    </r>
    <r>
      <rPr>
        <u/>
        <sz val="9"/>
        <color theme="1"/>
        <rFont val="Arial"/>
        <family val="2"/>
      </rPr>
      <t>on Drg D34843.00C-134-07</t>
    </r>
    <r>
      <rPr>
        <u/>
        <sz val="9"/>
        <rFont val="Arial"/>
        <family val="2"/>
      </rPr>
      <t xml:space="preserve"> for Apron and Surface Bed Panels for Jet Mixing Pump House:</t>
    </r>
  </si>
  <si>
    <t>Supply and Install 2000 mm Long (nominal) Gr 304 Stainless Steel Cat Ladder C/W hoops, rungs, stringers and bolts as per detail 1 on Drg D34843,00C-134-07.</t>
  </si>
  <si>
    <r>
      <t xml:space="preserve">Supply and Install </t>
    </r>
    <r>
      <rPr>
        <sz val="9"/>
        <rFont val="Arial"/>
        <family val="2"/>
      </rPr>
      <t>3000</t>
    </r>
    <r>
      <rPr>
        <sz val="9"/>
        <color theme="1"/>
        <rFont val="Arial"/>
        <family val="2"/>
      </rPr>
      <t xml:space="preserve"> mm Long (nominal) Gr 304 Stainless Steel Cat Ladder C/W hoops, rungs, stringers and bolts as per detail 1 on Drg D34843.00-134-07.</t>
    </r>
  </si>
  <si>
    <r>
      <t xml:space="preserve">Gr 304 Stainless Steel Pipe brackets, complete as per </t>
    </r>
    <r>
      <rPr>
        <sz val="9"/>
        <rFont val="Arial"/>
        <family val="2"/>
      </rPr>
      <t>Detail 4</t>
    </r>
    <r>
      <rPr>
        <b/>
        <sz val="9"/>
        <color rgb="FFFF0000"/>
        <rFont val="Arial"/>
        <family val="2"/>
      </rPr>
      <t xml:space="preserve"> </t>
    </r>
    <r>
      <rPr>
        <sz val="9"/>
        <color theme="1"/>
        <rFont val="Arial"/>
        <family val="2"/>
      </rPr>
      <t xml:space="preserve">on Drg </t>
    </r>
    <r>
      <rPr>
        <sz val="9"/>
        <rFont val="Arial"/>
        <family val="2"/>
      </rPr>
      <t>D34843-00C-134-07.</t>
    </r>
  </si>
  <si>
    <r>
      <t xml:space="preserve">Install Concrete Pipe Markers Approximately 0.3 - 0.5m away from pipe centreline complete as per Detail 12 on Drg D34843-00C-134-07.
</t>
    </r>
    <r>
      <rPr>
        <i/>
        <sz val="9"/>
        <rFont val="Arial"/>
        <family val="2"/>
      </rPr>
      <t>Rate to include for materials, excavation, painting, concrete encasement etc.</t>
    </r>
  </si>
  <si>
    <r>
      <t xml:space="preserve">Construct standpipe complete as per detail 10 on Drg </t>
    </r>
    <r>
      <rPr>
        <sz val="9"/>
        <rFont val="Arial"/>
        <family val="2"/>
      </rPr>
      <t>D34843-00C-134-07.</t>
    </r>
    <r>
      <rPr>
        <sz val="9"/>
        <color theme="1"/>
        <rFont val="Arial"/>
        <family val="2"/>
      </rPr>
      <t xml:space="preserve"> Rate to include for all fittings, valves etc.</t>
    </r>
  </si>
  <si>
    <t>Construction Joint as per Detail 11 on Drg D34843-00C-143-07.</t>
  </si>
  <si>
    <r>
      <t xml:space="preserve">Supply and Install </t>
    </r>
    <r>
      <rPr>
        <sz val="9"/>
        <rFont val="Arial"/>
        <family val="2"/>
      </rPr>
      <t>4000</t>
    </r>
    <r>
      <rPr>
        <sz val="9"/>
        <color theme="1"/>
        <rFont val="Arial"/>
        <family val="2"/>
      </rPr>
      <t xml:space="preserve"> mm Long (nominal) Gr 304 Stainless Steel Cat Ladder C/W hoops, rungs, stringers and bolts as per detail 1 on Drg</t>
    </r>
    <r>
      <rPr>
        <sz val="9"/>
        <rFont val="Arial"/>
        <family val="2"/>
      </rPr>
      <t xml:space="preserve"> D34843.00-134-07.</t>
    </r>
  </si>
  <si>
    <r>
      <t>Gr 304 Stainless Steel Pipe brackets, complete as per detail 4</t>
    </r>
    <r>
      <rPr>
        <sz val="9"/>
        <rFont val="Arial"/>
        <family val="2"/>
      </rPr>
      <t xml:space="preserve"> on Drg D34843.00-134-07.</t>
    </r>
  </si>
  <si>
    <t>Construction of Backdrop Manholes: Type B complete as per Detail D on Drawing D34843.00 - 133-01 for the following depth categories:</t>
  </si>
  <si>
    <t>Connection into main sewer pipeline complete as per Detail  C on Drawing D34843.00-133-01
Rate to include for all excavation, backfilling, bedding, disposal of surplus material and the supply, installation and laying of 110mm diameter uPVC pipe class 34, junctions, 110mm uPVC fittings, rodding eye, cover slab etc. for the following length categories</t>
  </si>
  <si>
    <t>Single Stormwater Manhole Over 1m and not exceeding 2.0m as per Detail G on Drawing D34843.00C-123-01</t>
  </si>
  <si>
    <t>Single Stormwater Manhole Over 2.0m and not exceeding 3.0m as per Detail G on Drawing D34843.00C-123-01</t>
  </si>
  <si>
    <t xml:space="preserve">d) Heavy duty concrete grid cover  (Dog bone) channel as per Detail B on Dwg No. D4843C.00-123-01. </t>
  </si>
  <si>
    <t>DN100 x 45 deg (R = 200mm, C/F = 125mm)</t>
  </si>
  <si>
    <t>DN80 x 45 deg (R = 150mm, C/F = 120mm)</t>
  </si>
  <si>
    <t>DN80 x DN50 (C/F = 150mm)</t>
  </si>
  <si>
    <t>DN100 x DN80 (C/F = 180mm)</t>
  </si>
  <si>
    <r>
      <t xml:space="preserve">Construct typical stormwater chamber chamber to nominal depth of 2.0m below ground as per </t>
    </r>
    <r>
      <rPr>
        <sz val="9"/>
        <rFont val="Arial"/>
        <family val="2"/>
      </rPr>
      <t>detail H on Drg D34843.00C-123-01</t>
    </r>
    <r>
      <rPr>
        <b/>
        <sz val="9"/>
        <rFont val="Arial"/>
        <family val="2"/>
      </rPr>
      <t xml:space="preserve"> </t>
    </r>
    <r>
      <rPr>
        <sz val="9"/>
        <rFont val="Arial"/>
        <family val="2"/>
      </rPr>
      <t>including for all clearance, excavation, formwork, concrete, reinforcement, backfilling and compaction, benching, precast concrete manhole rings, manhole cover and frame etc.</t>
    </r>
  </si>
  <si>
    <t>DN100 x DN80 x 75mm Long Gr 304 Stainless Steel Concentric Reducers (flanged both ends) for the following diameters and dimensions:</t>
  </si>
  <si>
    <r>
      <t>b) Extra-Over Item B.1.2.1</t>
    </r>
    <r>
      <rPr>
        <b/>
        <sz val="9"/>
        <color rgb="FFFF0000"/>
        <rFont val="Arial"/>
        <family val="2"/>
      </rPr>
      <t xml:space="preserve"> </t>
    </r>
    <r>
      <rPr>
        <sz val="9"/>
        <color theme="1"/>
        <rFont val="Arial"/>
        <family val="2"/>
      </rPr>
      <t>above for:</t>
    </r>
  </si>
  <si>
    <t>PSC 8.2.16</t>
  </si>
  <si>
    <t>PSC 8.2.15</t>
  </si>
  <si>
    <t>PSC 8.2.14</t>
  </si>
  <si>
    <t>PSG 8.2.8</t>
  </si>
  <si>
    <t>Class 35/19 MPa reinforced concrete for bases, walls, vortex degrittors, walkways, splitter block etc.</t>
  </si>
  <si>
    <t>Connect into existing DN300 Asbetos Cement Outlet pipeline between existing inlet works and existing Primary Settling Tank, including for removal of Asbestos Pipe, end caps etc.</t>
  </si>
  <si>
    <t>B.3.4</t>
  </si>
  <si>
    <t>B.3.5</t>
  </si>
  <si>
    <t>B.3.6</t>
  </si>
  <si>
    <t>B.3.7</t>
  </si>
  <si>
    <t>B.3.8</t>
  </si>
  <si>
    <t>8.5.1 &amp; PS.33.7.2</t>
  </si>
  <si>
    <t>PS.33.7.2</t>
  </si>
  <si>
    <r>
      <t xml:space="preserve">b) Extra-Over Item </t>
    </r>
    <r>
      <rPr>
        <sz val="9"/>
        <rFont val="Arial"/>
        <family val="2"/>
      </rPr>
      <t>B.4.1.2</t>
    </r>
    <r>
      <rPr>
        <b/>
        <sz val="9"/>
        <color rgb="FFFF0000"/>
        <rFont val="Arial"/>
        <family val="2"/>
      </rPr>
      <t xml:space="preserve"> </t>
    </r>
    <r>
      <rPr>
        <sz val="9"/>
        <color theme="1"/>
        <rFont val="Arial"/>
        <family val="2"/>
      </rPr>
      <t>above for:</t>
    </r>
  </si>
  <si>
    <t>B.4.2.25</t>
  </si>
  <si>
    <t>B.4.2.26</t>
  </si>
  <si>
    <t>PS.34.2</t>
  </si>
  <si>
    <t>PS.24.a)</t>
  </si>
  <si>
    <t>C.1.3</t>
  </si>
  <si>
    <t>PS.24.b)</t>
  </si>
  <si>
    <t>Provision of Lime for Stabilisation of Resultant Sludge accumulated in overflow ponds (provisional)</t>
  </si>
  <si>
    <t>PSC 8.2.8 &amp; PS.34.3</t>
  </si>
  <si>
    <t>PS.34.3 &amp; PSG 8.3.4</t>
  </si>
  <si>
    <t>C.4.5</t>
  </si>
  <si>
    <t>PS.34.3 &amp; PSG 8.7.c)</t>
  </si>
  <si>
    <t>PS.35</t>
  </si>
  <si>
    <t>PS.22.4.a)</t>
  </si>
  <si>
    <t>PS.22.4.b)</t>
  </si>
  <si>
    <t>PS.22.4.c)</t>
  </si>
  <si>
    <t>PS.22.4.d)</t>
  </si>
  <si>
    <t>PS.22.4.e)</t>
  </si>
  <si>
    <t>E.1.5.1</t>
  </si>
  <si>
    <t>E.1.5.2</t>
  </si>
  <si>
    <t>E.1.5.3</t>
  </si>
  <si>
    <t>E.1.7</t>
  </si>
  <si>
    <t>PSC 8.2.8 &amp; PS.22.4.g)</t>
  </si>
  <si>
    <t>PS.22.4.g) &amp; PSG 8.3.4</t>
  </si>
  <si>
    <t>PS.22.4.g) &amp; PSG 8.7.c)</t>
  </si>
  <si>
    <t>PSC.8.2.8</t>
  </si>
  <si>
    <t>b) Extra-Over Item F.1.2.1 above for:</t>
  </si>
  <si>
    <t>PS.28</t>
  </si>
  <si>
    <t>PS.36.2</t>
  </si>
  <si>
    <t>PSC 8.2.13</t>
  </si>
  <si>
    <t>PSC.8.2.10</t>
  </si>
  <si>
    <t>b) Extra-Over Item F.3.2.1 above for:</t>
  </si>
  <si>
    <t>PSC 8.2.17</t>
  </si>
  <si>
    <t>a) Excavation in all materials for pipe diameters up to 200mm diameter for trenches of width up to &amp; including 1.8 m, backfill in layers not exceeding 300 mm thickness, compact to 90% MOD AASHTO and dispose of surplus material for all pipe diameters in the following depth categories:</t>
  </si>
  <si>
    <t>b) Extra Over Items G.2.1 &amp; G.2.2 for:</t>
  </si>
  <si>
    <t>DN110 Buttwelded HDPe Pipe (PN10) to SANS ISO 4427</t>
  </si>
  <si>
    <t>DN90 Buttwelded HDPe Pipe (PN10) to SANS ISO 4427</t>
  </si>
  <si>
    <t>G.3.1.6</t>
  </si>
  <si>
    <t>G.3.1.7</t>
  </si>
  <si>
    <t>DN63 HDPe Pipe (PN10) to SANS ISO 4427 C/W PN16 Compression Couplings</t>
  </si>
  <si>
    <t>DN32 HDPe Pipe (PN10) to SANS ISO 4427 C/W PN16 Compression Couplings</t>
  </si>
  <si>
    <t>DN50 HDPe Pipe (PN10) to SANS ISO 4427 C/W PN16 Compression Couplings</t>
  </si>
  <si>
    <t>PS.27</t>
  </si>
  <si>
    <t>PS.26</t>
  </si>
  <si>
    <t>8.2.1.1</t>
  </si>
  <si>
    <t>Demolish, remove and dispose of structures, including manholes, brickwork walls etc. (provisional)</t>
  </si>
  <si>
    <t>Removal and disposal of Existing Asphalt-surfaced Pavement</t>
  </si>
  <si>
    <t>PSC.8.2.15</t>
  </si>
  <si>
    <t>SANS  1200 D</t>
  </si>
  <si>
    <t xml:space="preserve"> EARTHWORKS</t>
  </si>
  <si>
    <t>a) Excavate in all materials and use for embankment or backfill or dispose as ordered</t>
  </si>
  <si>
    <t>b) Extra-Over Item I.1.2.2 for:</t>
  </si>
  <si>
    <t>PSD 8.3.1.2</t>
  </si>
  <si>
    <t>Remove topsoil to nominal depth 150mm, stockpile and maintain</t>
  </si>
  <si>
    <t>PS.31</t>
  </si>
  <si>
    <t>a) Excavate in all materials for trenches for 160mm - 200mm diameter pipes, backfill, compact to 90% MOD AASHTO, and dispose of surplus material. 
Rate to include for cutting of level bench and all other costs deemed necessary by the Contractor</t>
  </si>
  <si>
    <t>a) Excavate in all materials for trenches for 450mm-600mm diameter pipes, backfill, compact to 90% MOD AASHTO, and dispose of surplus material. 
Rate to include for cutting of level bench and all other costs deemed necessary by the Contractor</t>
  </si>
  <si>
    <t>Excavation</t>
  </si>
  <si>
    <t>b) Extra-Over Items I.1.3.2 - I.1.3.5 for:</t>
  </si>
  <si>
    <t>Concrete Capping to Gabion Baskets (Provisional):</t>
  </si>
  <si>
    <t>Class 30/19 MPa Concrete</t>
  </si>
  <si>
    <t>I.1.4.9.1</t>
  </si>
  <si>
    <t>I.1.4.9.2</t>
  </si>
  <si>
    <t>High Pressure Jetting and Clearing of DN160 Sewer Pipeline for the following pipe diameters</t>
  </si>
  <si>
    <t>PSC 8.3.1.2</t>
  </si>
  <si>
    <t>b) Extra Over Item J.2.2 for :</t>
  </si>
  <si>
    <t>PS.41.3.a)</t>
  </si>
  <si>
    <t>a) Excavate in all materials for pipe trenches up to 160mm diameter pipes, backfill, compact to 93% of MDD, and dispose of surplus material.Rate to include for cutting of level bench and all other costs deemed necessary by the Contractor</t>
  </si>
  <si>
    <t>a) Excavate in all materials for pipe trenches for 450mm diameter pipes, backfill, compact to 93% MOD AASHTO, and dispose of surplus material. Rate to include for cutting of level bench and all other costs deemed necessary by the Contractor</t>
  </si>
  <si>
    <t>a) Excavate in all materials for pipe trenches for 600mm diameter pipes, backfill, compact to 90% MOD AASHTO, and dispose of surplus material. Rate to include for cutting of level bench and all other costs deemed necessary by the Contractor</t>
  </si>
  <si>
    <t>b) Extra-Over Items J.3.1, J.3.2 and J.3.3 for:</t>
  </si>
  <si>
    <t>a) Remove topsoil to nominal depth of 200mm, stockpile, maintain and if in excess of requirements dispose off in approved area.</t>
  </si>
  <si>
    <t>a) Cavities filled with approved excavated material or rock</t>
  </si>
  <si>
    <t>b) Cavities filled with Class 15/19 MPa concrete (provisional)</t>
  </si>
  <si>
    <t>J.4.1.1</t>
  </si>
  <si>
    <t>J.4.1.2</t>
  </si>
  <si>
    <t>High Tensile Welded Ref Mesh .193</t>
  </si>
  <si>
    <t xml:space="preserve">Class 25/19 MPa Concrete for drains </t>
  </si>
  <si>
    <t>Expansion Joint Detail for V-Drains complete as per Detail A on Drawing D34843C.00-123-01</t>
  </si>
  <si>
    <t>Sawcut Joint for V-Drains complete as per Detail A  on Drawing D34843C.00-123-01</t>
  </si>
  <si>
    <t>200 x 10 mm Thick Polyethylene Joint Former ("Jointex" by Sondor or similar approved) with hinged 10 x 10 mm temporary blocking piece, plugged with polysulphide joint sealant ("Sikaflex" by Sika or similar approved)</t>
  </si>
  <si>
    <t xml:space="preserve">100 x 10mm wide  Bitumen impregnated soft board </t>
  </si>
  <si>
    <t>a) Provision of crushed stone (14mm nominal size)</t>
  </si>
  <si>
    <t>b) Geotextile for subsoil drain  (A4 Kaytech or similar approved)</t>
  </si>
  <si>
    <t>Supply and Lay Concrete Pipe Culverts on Class C bedding</t>
  </si>
  <si>
    <t>DN600 Class 100 D spigot and socket</t>
  </si>
  <si>
    <t>DN450 Class 50 D spigot and socket</t>
  </si>
  <si>
    <t>PS.40.3.a)</t>
  </si>
  <si>
    <t>Supply and Install Slotted Sub-Soil Pipe complete with couplings:</t>
  </si>
  <si>
    <t>DN110 slotted uPVC pipe normal duty</t>
  </si>
  <si>
    <t>DN150 slotted uPVC pipe normal duty</t>
  </si>
  <si>
    <t xml:space="preserve">f) Single Manhole over 2m and not exceding 3m as per Detail K on Dwg No. D4843C.00-123-01. </t>
  </si>
  <si>
    <t xml:space="preserve">e) Single Manhole over 1m and not exceding 2m as per Detail K on Dwg No. D34843.00C-123-01. </t>
  </si>
  <si>
    <t xml:space="preserve">d) Type 2 single manhole over 2m and not exceding 3m as per Detail H on Dwg No. D4843.00C-123-01. </t>
  </si>
  <si>
    <t xml:space="preserve">c) Type 1 single manhole over 2m and not exceding 3m as per Detail G on Dwg No. D34843.00C-123-01. </t>
  </si>
  <si>
    <t>b) Type 2 catchpit manhole over 1m and not exceding 2m as per Detail H on Dwg No. D34843.00C-123-01.</t>
  </si>
  <si>
    <t>a) Type 1 single manhole over 1m and not exceding 2m as per Detail G on Dwg No. D34843.00C-123-01.</t>
  </si>
  <si>
    <t>PS.40.3.e)</t>
  </si>
  <si>
    <t xml:space="preserve">Outlet Headwall complete as per Detail F on Dwg No. D34843.00C-123-01. </t>
  </si>
  <si>
    <t>Supply and Install Manholes, Catchpits and the Like:</t>
  </si>
  <si>
    <t>Process subbase material by the following processes, as relevant and use in the subbase:</t>
  </si>
  <si>
    <t xml:space="preserve"> b) Portland Cement </t>
  </si>
  <si>
    <t>Concrete kerbing and channeling combined as per Detail C on Dwg No. D34843.00C-123-01</t>
  </si>
  <si>
    <t>Shore trench opposite structure or service (up to 3m depth) - provisional</t>
  </si>
  <si>
    <t>Gravel Surface Layer:</t>
  </si>
  <si>
    <t>Surface Finishing:</t>
  </si>
  <si>
    <t>I.1.6.5</t>
  </si>
  <si>
    <t>Supply, lay, joint, bed and test 160mm ND heavy duty spigot and socket solid wall uPVC pipe (Class 34)</t>
  </si>
  <si>
    <t>Construction of Backdrop Manholes: Type A complete as per Detail D on Drawing D34843.00C-133-01 for the following depth categories:</t>
  </si>
  <si>
    <t>Extra Over Item I.1.7.2 - I.1.7.5 for :</t>
  </si>
  <si>
    <t>Connection into main sewer pipeline complete as per Detail  C on Drawing D34843.00133-01
Rate to include for all excavation, backfilling, bedding, disposal of surplus material and the supply, installation and laying of 110mm diameter uPVC pipe class 34, junctions, 110mm uPVC fittings, rodding eye, cover slab etc. for depths over 1m and not exceeding 2m</t>
  </si>
  <si>
    <t>Extra-over item I.1.7.11 for:</t>
  </si>
  <si>
    <t>Encasing of pipes in concrete Grade 25MPa/19mm as per detail E on drawing D34843.00C-133-01 including for all formwork</t>
  </si>
  <si>
    <t>PSLD 8.2.13</t>
  </si>
  <si>
    <t>PSLD 8.2.14</t>
  </si>
  <si>
    <t>Supply, install, seal and fix 1000mm diameter precast concrete manhole cover and frames for the following duty classes:</t>
  </si>
  <si>
    <t>Anchor blocks Grade 25MPa/19mm including for rough vertical formwork</t>
  </si>
  <si>
    <t>Inlet and Outlet Headwall complete as per Detail F on Drawing D34843.00C-123-01</t>
  </si>
  <si>
    <t>DN525 Class 100 D spigot and socket</t>
  </si>
  <si>
    <t>DN600 Class 50 D spigot and socket</t>
  </si>
  <si>
    <t>Construct subbase using G5 material from commercial sources compacted to 98 % Mod AASHTO max. density for roads</t>
  </si>
  <si>
    <t>a) Construct base with material G2 from commercial sources material compacted to 98 % Mod.AASHTO max. density for roads</t>
  </si>
  <si>
    <r>
      <t>Tack Coat of 60% stable grade emulsion - application rate 0.3 L/m</t>
    </r>
    <r>
      <rPr>
        <vertAlign val="superscript"/>
        <sz val="9"/>
        <rFont val="Arial"/>
        <family val="2"/>
      </rPr>
      <t xml:space="preserve">2 </t>
    </r>
  </si>
  <si>
    <t>Guard Rails on Post as per Detail J on drawing D34843.00C-123-01</t>
  </si>
  <si>
    <t>PSC 8.2.8</t>
  </si>
  <si>
    <t>Removal of Existing Asphalt-Surfaced Pavement</t>
  </si>
  <si>
    <t>Over 0.0 m and not exceeding 1.0 m depth</t>
  </si>
  <si>
    <t>Over 1.0 m and not exceeding 2.0 m depth</t>
  </si>
  <si>
    <t>Removal  and disposal of Precast concrete manhole rings manhole inclusive of manhole covers and frames for the following depth categories:</t>
  </si>
  <si>
    <t>a) Excavate in all materials for trenches for 160 - 375mm diameter pipes, backfill, compact to 90% MOD AASHTO, and dispose of surplus material. 
Rate to include for cutting of level bench and all other costs deemed necessary by the Contractor</t>
  </si>
  <si>
    <t>b) Extra-Over Items I.2.2.1 - I.2.2.3 for:</t>
  </si>
  <si>
    <t>Over 1.0m and not exceeding 2.0m</t>
  </si>
  <si>
    <t>a) Shore trench opposite structure or service (up to 3m depth) - provisional</t>
  </si>
  <si>
    <t>I.2.4.5</t>
  </si>
  <si>
    <t>Supply, lay, joint, bed and test the following solid wall uPVC Pipes (Class 34):</t>
  </si>
  <si>
    <t>DN355</t>
  </si>
  <si>
    <t>PSLD 8.2.3</t>
  </si>
  <si>
    <t>Extra Over Items I.2.5.4 - I.2.5.8 for :</t>
  </si>
  <si>
    <t>Construction of Backdrop Manholes: Type A complete as per Detail D on Drawing D34843.00C-133-01 for depths exceeding 1.0m but not exceeding 2.0m</t>
  </si>
  <si>
    <t>Construction of Backdrop Manholes: Type B complete as per Detail D on Drawing D34843.00C-133-01 for for depths exceeding 1.0m but not exceeding 2.0m</t>
  </si>
  <si>
    <t>Heavy duty precast concrete manhole cover and frame</t>
  </si>
  <si>
    <t>Extra-over item I 2.5.13 for:</t>
  </si>
  <si>
    <t>Encasing of pipes in concrete Grade 25MPa/19mm as per detail E on drawing D34843.00C-133-01 including for formwork</t>
  </si>
  <si>
    <t>DN300</t>
  </si>
  <si>
    <t>Supply and install 1000mm diameter x 500mm high precast concrete manhole rings</t>
  </si>
  <si>
    <t>Supply, install, seal and fix 1000mm diameter Concrete ring Manhole and covers for the following duty classes:</t>
  </si>
  <si>
    <t>Supply, install and seal 1000mm diameter x 500mm high precast concrete manhole rings</t>
  </si>
  <si>
    <t>Remove and grub large trees and tree stumps of girth:</t>
  </si>
  <si>
    <r>
      <t>m</t>
    </r>
    <r>
      <rPr>
        <vertAlign val="superscript"/>
        <sz val="9"/>
        <rFont val="Arial"/>
        <family val="2"/>
      </rPr>
      <t>2</t>
    </r>
  </si>
  <si>
    <t>Removal of Existing Asphalt Pavement</t>
  </si>
  <si>
    <t>Removal  and disposal of Concrete Rings manhole inclusive of manhole Covers and Frames for the following depth categories:</t>
  </si>
  <si>
    <t>Over 1.0m and not exceeding 3.0m depth</t>
  </si>
  <si>
    <t>Over 0.0m and not exceeding 2.0m depth</t>
  </si>
  <si>
    <t>c) Extra Over Item I.3.2.2 for :</t>
  </si>
  <si>
    <t>Bulk Excavation:</t>
  </si>
  <si>
    <t>a) Excavate in all materials for trenches for 160 - 200mm diameter pipes, backfill, compact to 90% MOD AASHTO, and dispose of surplus material. 
Rate to include for cutting of level bench and all other costs deemed necessary by the Contractor</t>
  </si>
  <si>
    <t>Over 0.0m and not exceeding 1.0m</t>
  </si>
  <si>
    <t>b) Extra-Over Items I.1.3.3.1 - I.1.3.3.4 for:</t>
  </si>
  <si>
    <t>Excavation Ancillaries:</t>
  </si>
  <si>
    <t>Shore trench opposite structure or service (to maximum depth of 3.0m) - provisional</t>
  </si>
  <si>
    <t>I.3.4.6.1</t>
  </si>
  <si>
    <t>I.3.4.6.2</t>
  </si>
  <si>
    <t>Rough vertical formwork for RC foundations for pipe bridges</t>
  </si>
  <si>
    <t>Smooth Vertical Formwork for pipe bridge columns and walls</t>
  </si>
  <si>
    <t>Box out holes/form voids:</t>
  </si>
  <si>
    <t>a) Small, Circular, of diameter up to and including 0.35m:</t>
  </si>
  <si>
    <t>1) Over 0.0m and not exceeding 0.5m deep</t>
  </si>
  <si>
    <t>Extra-Over Item I.3.6.4 for doweling of Y20 high tensile steel bars into bedrock, including for wet-to-dry epoxy</t>
  </si>
  <si>
    <t>Kugan to review  - qty seems high</t>
  </si>
  <si>
    <t>PSG 8.3.1.1</t>
  </si>
  <si>
    <t>Non-shrink grout (Sikadur-42 ZA, or similar approved) for rock anchoring</t>
  </si>
  <si>
    <t>8.7</t>
  </si>
  <si>
    <t>To be discussed, prefer to include in the PSG 8.3.1.1 item, as it is such a small quantity and difficult to measure</t>
  </si>
  <si>
    <t>Stainless Steel Pipe fixing bracket complete as per Detail H on drawing D34843.00C-133-01</t>
  </si>
  <si>
    <t>Also can include the grout into this item</t>
  </si>
  <si>
    <t>Supply, lay, joint, bed and test the following pipes:</t>
  </si>
  <si>
    <t>DN160 heavy duty spigot and socket solid wall uPVC pipe (Class 34)  in road reserves and servitudes</t>
  </si>
  <si>
    <t>DN150 spigot and socket ductile iron pipe (High Alumina Cement Mortar Lined) on concrete plinths and pipe bridges</t>
  </si>
  <si>
    <t>Construct concrete manhole using 1000mm ND precast concrete rings complete as per Detail B on Drawing D34843.00--133-01 including light duty cover and frame, excavation,  and Type 'A' benching etc. for the following depth categories:</t>
  </si>
  <si>
    <t>Over 0.0 m and not exceeding 1.5m deep in road reserves and servitudes</t>
  </si>
  <si>
    <t>I.3.7.5</t>
  </si>
  <si>
    <t>Extra Over Items I.3.8.3 - I.3.8.6 for:</t>
  </si>
  <si>
    <t xml:space="preserve">Construction of Backdrop Manholes: Type A complete as per Detail D on Drawing D34843.00C-133-01 for a depth greater than 1.0m but not exceeding 2.0 m </t>
  </si>
  <si>
    <t xml:space="preserve">Construction of Backdrop Manholes: Type B complete as per Detail D on Drawing D34843.00 - 133-01 for a depth greater than 1.0m but not exceeding 2.0 m </t>
  </si>
  <si>
    <t xml:space="preserve">Extra-over item I.3.8.12 for connections into manholes including benching, all associated works and making good upon completion </t>
  </si>
  <si>
    <t>High Pressure Jetting and Clearing of Sewer Pipeline for the following pipe diameters:</t>
  </si>
  <si>
    <t>Connection into main sewer pipeline complete as per Detail  C on Drawing D34843.00-133-01 
Rate to include for all excavation, backfilling, bedding, disposal of surplus material and the supply, installation and laying of 110mm diameter uPVC pipe class 34, junctions, 110mm uPVC fittings, rodding eye, cover slab etc. for depths greater than 1.0m but not exceeding 2.0m</t>
  </si>
  <si>
    <r>
      <t xml:space="preserve">Isolation Joint Between Brickwork walls and surface beds / apron slabs as per detail 15 on </t>
    </r>
    <r>
      <rPr>
        <u/>
        <sz val="9"/>
        <rFont val="Arial"/>
        <family val="2"/>
      </rPr>
      <t>Drg</t>
    </r>
    <r>
      <rPr>
        <b/>
        <u/>
        <sz val="9"/>
        <color rgb="FFFF0000"/>
        <rFont val="Arial"/>
        <family val="2"/>
      </rPr>
      <t xml:space="preserve"> </t>
    </r>
    <r>
      <rPr>
        <u/>
        <sz val="9"/>
        <rFont val="Arial"/>
        <family val="2"/>
      </rPr>
      <t>D34843-00C-134-07:</t>
    </r>
  </si>
  <si>
    <t>Isolation Joint as per Detail 15 on Drg D34843.00C-134-07 between Apron Slabs, Surface Bed and Brickwork Walls for Jet Mixing Pump House:</t>
  </si>
  <si>
    <t>Key-less Saw-Cut Joint as per Detail 13 on Drg D34843.00C-134-07</t>
  </si>
  <si>
    <r>
      <t>Keyed Construction Joint as per Detail 14</t>
    </r>
    <r>
      <rPr>
        <b/>
        <u/>
        <sz val="9"/>
        <color rgb="FFFF0000"/>
        <rFont val="Arial"/>
        <family val="2"/>
      </rPr>
      <t xml:space="preserve"> </t>
    </r>
    <r>
      <rPr>
        <u/>
        <sz val="9"/>
        <color theme="1"/>
        <rFont val="Arial"/>
        <family val="2"/>
      </rPr>
      <t>on Drg D34843.00C-134-07</t>
    </r>
  </si>
  <si>
    <r>
      <t xml:space="preserve">Isolation Joint as per Detail 15 on Drg </t>
    </r>
    <r>
      <rPr>
        <u/>
        <sz val="9"/>
        <rFont val="Arial"/>
        <family val="2"/>
      </rPr>
      <t>D34843.00C-134-07</t>
    </r>
  </si>
  <si>
    <t>Isolation Joint as per Detail 15 on Drg D34843-00C-134-07</t>
  </si>
  <si>
    <t>Contractor's compliance with health and safety, including for measuring explosiveness levels, Gas/ Oxygen detection equipment, PPE, safety equipment, signage etc.
Note: 50% of tendered rate payable upon acceptance of plan and establishment of equipment on site, and the balance will be payable upon completion of rehabilitation activities.</t>
  </si>
  <si>
    <t>PSL 8.2.17</t>
  </si>
  <si>
    <t>Supply, install, seal and fix 1000mm diameter precast concrete manhole cover and frame for the following duty classes:</t>
  </si>
  <si>
    <t>Supply and Lay DN375 Class 100 D spigot and socket concrete pipe culverts on Class C bedding</t>
  </si>
  <si>
    <t>Extra Over Item I.3.9.1 for cutting end units for culverts on site</t>
  </si>
  <si>
    <t>High Pressure Jetting and Clearing of DN160 Sewer Pipeline</t>
  </si>
  <si>
    <t>Anchor blocks Grade 25MPa/19mm (including for rough vertical formwork)</t>
  </si>
  <si>
    <r>
      <t>Tack Coat of 60%  stable grade emulsion - Application rate 0.3 L/m</t>
    </r>
    <r>
      <rPr>
        <vertAlign val="superscript"/>
        <sz val="9"/>
        <rFont val="Arial"/>
        <family val="2"/>
      </rPr>
      <t>2</t>
    </r>
  </si>
  <si>
    <t>c) Extra Over Item I.4.2.2 for :</t>
  </si>
  <si>
    <t>a) Excavate in all materials for trenches for 250 - 375mm diameter pipes, backfill, compact to 90% MOD AASHTO, and dispose of surplus material for the following depth categories:
Rate to include for cutting of level bench and all other costs deemed necessary by the Contractor</t>
  </si>
  <si>
    <t>b) Extra-Over Items I.4.3.1 - I.4.3.3 for:</t>
  </si>
  <si>
    <t>PSDK 8.2.8</t>
  </si>
  <si>
    <t>I.4.4.8.1</t>
  </si>
  <si>
    <t>I.4.4.8.2</t>
  </si>
  <si>
    <t>DN250 heavy duty spigot and socket solid wall uPVC pipe (Class 34)  in road reserves and servitudes</t>
  </si>
  <si>
    <t>DN315 heavy duty spigot and socket solid wall uPVC pipe (Class 34)  in road reserves and servitudes</t>
  </si>
  <si>
    <t>Encasing of pipes in concrete Grade 25MPa/19mm as per detail E on drawing D34843.00C-133-01</t>
  </si>
  <si>
    <t>c) Extra Over Item I.5.2.2 for :</t>
  </si>
  <si>
    <t>I.5.2.9.1</t>
  </si>
  <si>
    <t>I.5.2.9.2</t>
  </si>
  <si>
    <t>Smooth, Circular Vertical Formwork on wall</t>
  </si>
  <si>
    <t>DN315 x 600 mm Long PVC Pipe for Drainage Sump (PVC Pipe to be included in tendered rate)</t>
  </si>
  <si>
    <t>Construct Belltobie type valve chamber to nominal depth of 2.0m below ground level including for all clearance, excavation, compaction, concrete pedestal, precast concrete valve spacers, concrete collar, No.5 valve cover etc. complete as per detail.</t>
  </si>
  <si>
    <t>DN50 x DN32 Reducing Tee</t>
  </si>
  <si>
    <t>DN50 x DN32 Reducer</t>
  </si>
  <si>
    <t>DN63 x DN32 Reducing Tee</t>
  </si>
  <si>
    <t>DN50 x DN63 Enlarging Tee</t>
  </si>
  <si>
    <t>DN90 x DN50 Reducer</t>
  </si>
  <si>
    <t>DN90 x DN63 Tee</t>
  </si>
  <si>
    <t>HDPe Fittings for Second Class and Potable Water Pipelines (PN16):</t>
  </si>
  <si>
    <t>DN90 x DN32 Clamp Saddle Female</t>
  </si>
  <si>
    <t>G.3.2.17</t>
  </si>
  <si>
    <t>G.3.2.18</t>
  </si>
  <si>
    <t>G.3.2.19</t>
  </si>
  <si>
    <t>G.3.2.20</t>
  </si>
  <si>
    <t>G.3.2.21</t>
  </si>
  <si>
    <t>Class 35/19 MPa for new Concrete Base Slab</t>
  </si>
  <si>
    <r>
      <t>b) Extra-Over Item</t>
    </r>
    <r>
      <rPr>
        <b/>
        <sz val="9"/>
        <rFont val="Arial"/>
        <family val="2"/>
      </rPr>
      <t xml:space="preserve"> K.1.2</t>
    </r>
    <r>
      <rPr>
        <b/>
        <sz val="9"/>
        <color rgb="FFFF0000"/>
        <rFont val="Arial"/>
        <family val="2"/>
      </rPr>
      <t xml:space="preserve"> </t>
    </r>
    <r>
      <rPr>
        <b/>
        <sz val="9"/>
        <color theme="1"/>
        <rFont val="Arial"/>
        <family val="2"/>
      </rPr>
      <t>above for:</t>
    </r>
  </si>
  <si>
    <t>PS.38</t>
  </si>
  <si>
    <t>PS.38.1</t>
  </si>
  <si>
    <t>PS.38.4</t>
  </si>
  <si>
    <t>PS.38.5</t>
  </si>
  <si>
    <t>PS.38.3</t>
  </si>
  <si>
    <t>Add 7.5% Contingencies</t>
  </si>
  <si>
    <t>TOTAL SCHEDULE K CARRIED FORWARD TO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</si>
</sst>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quot;R&quot;\ * #,##0.00_ ;_ &quot;R&quot;\ * \-#,##0.00_ ;_ &quot;R&quot;\ * &quot;-&quot;??_ ;_ @_ "/>
    <numFmt numFmtId="165" formatCode="_ [$R-1C09]\ * #,##0.00_ ;_ [$R-1C09]\ * \-#,##0.00_ ;_ [$R-1C09]\ * &quot;-&quot;??_ ;_ @_ "/>
    <numFmt numFmtId="166" formatCode="&quot;R&quot;\ #,##0.00"/>
    <numFmt numFmtId="167" formatCode="_-[$R-1C09]* #,##0.00_-;\-[$R-1C09]* #,##0.00_-;_-[$R-1C09]* &quot;-&quot;??_-;_-@_-"/>
    <numFmt numFmtId="168" formatCode="0.00000%"/>
    <numFmt numFmtId="169" formatCode="#\ ##0.00"/>
    <numFmt numFmtId="170" formatCode="#,##0.0"/>
    <numFmt numFmtId="171" formatCode="0.0"/>
  </numFmts>
  <fonts count="32" x14ac:knownFonts="1">
    <font>
      <sz val="11"/>
      <color theme="1"/>
      <name val="Calibri"/>
      <family val="2"/>
      <scheme val="minor"/>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sz val="11"/>
      <color theme="1"/>
      <name val="Calibri"/>
      <family val="2"/>
      <scheme val="minor"/>
    </font>
    <font>
      <sz val="9"/>
      <color theme="1"/>
      <name val="Arial"/>
      <family val="2"/>
    </font>
    <font>
      <b/>
      <sz val="9"/>
      <color theme="1"/>
      <name val="Arial"/>
      <family val="2"/>
    </font>
    <font>
      <vertAlign val="superscript"/>
      <sz val="9"/>
      <color theme="1"/>
      <name val="Arial"/>
      <family val="2"/>
    </font>
    <font>
      <u/>
      <sz val="9"/>
      <color theme="1"/>
      <name val="Arial"/>
      <family val="2"/>
    </font>
    <font>
      <b/>
      <u/>
      <sz val="9"/>
      <color theme="1"/>
      <name val="Arial"/>
      <family val="2"/>
    </font>
    <font>
      <sz val="9"/>
      <name val="Arial"/>
      <family val="2"/>
    </font>
    <font>
      <b/>
      <sz val="9"/>
      <name val="Arial"/>
      <family val="2"/>
    </font>
    <font>
      <u/>
      <sz val="9"/>
      <name val="Arial"/>
      <family val="2"/>
    </font>
    <font>
      <vertAlign val="superscript"/>
      <sz val="9"/>
      <name val="Arial"/>
      <family val="2"/>
    </font>
    <font>
      <b/>
      <u/>
      <sz val="10"/>
      <name val="Arial"/>
      <family val="2"/>
    </font>
    <font>
      <sz val="9"/>
      <color rgb="FFFF0000"/>
      <name val="Arial"/>
      <family val="2"/>
    </font>
    <font>
      <b/>
      <u/>
      <sz val="9"/>
      <name val="Arial"/>
      <family val="2"/>
    </font>
    <font>
      <i/>
      <sz val="9"/>
      <color theme="1"/>
      <name val="Arial"/>
      <family val="2"/>
    </font>
    <font>
      <i/>
      <sz val="9"/>
      <name val="Arial"/>
      <family val="2"/>
    </font>
    <font>
      <sz val="9"/>
      <color theme="1"/>
      <name val="Calibri"/>
      <family val="2"/>
    </font>
    <font>
      <sz val="9"/>
      <color theme="1"/>
      <name val="Calibri"/>
      <family val="2"/>
      <scheme val="minor"/>
    </font>
    <font>
      <b/>
      <sz val="9"/>
      <color rgb="FFFF0000"/>
      <name val="Arial"/>
      <family val="2"/>
    </font>
    <font>
      <i/>
      <vertAlign val="superscript"/>
      <sz val="9"/>
      <color theme="1"/>
      <name val="Arial"/>
      <family val="2"/>
    </font>
    <font>
      <b/>
      <u/>
      <sz val="9"/>
      <color rgb="FFFF0000"/>
      <name val="Arial"/>
      <family val="2"/>
    </font>
    <font>
      <sz val="11"/>
      <name val="Calibri"/>
      <family val="2"/>
      <scheme val="minor"/>
    </font>
    <font>
      <sz val="10"/>
      <name val="Arial"/>
      <family val="2"/>
    </font>
    <font>
      <sz val="9"/>
      <color rgb="FF7030A0"/>
      <name val="Arial"/>
      <family val="2"/>
    </font>
    <font>
      <b/>
      <sz val="9"/>
      <color rgb="FF7030A0"/>
      <name val="Arial"/>
      <family val="2"/>
    </font>
    <font>
      <sz val="11"/>
      <color rgb="FF7030A0"/>
      <name val="Calibri"/>
      <family val="2"/>
      <scheme val="minor"/>
    </font>
  </fonts>
  <fills count="4">
    <fill>
      <patternFill patternType="none"/>
    </fill>
    <fill>
      <patternFill patternType="gray125"/>
    </fill>
    <fill>
      <patternFill patternType="solid">
        <fgColor rgb="FFF2F2F2"/>
      </patternFill>
    </fill>
    <fill>
      <patternFill patternType="solid">
        <fgColor theme="0" tint="-4.9989318521683403E-2"/>
        <bgColor indexed="64"/>
      </patternFill>
    </fill>
  </fills>
  <borders count="16">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27" fillId="0" borderId="0"/>
  </cellStyleXfs>
  <cellXfs count="567">
    <xf numFmtId="0" fontId="0" fillId="0" borderId="0" xfId="0"/>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4" xfId="0" applyFont="1" applyBorder="1" applyAlignment="1">
      <alignment vertical="center" wrapText="1"/>
    </xf>
    <xf numFmtId="0" fontId="11" fillId="0" borderId="4" xfId="0" applyFont="1" applyBorder="1" applyAlignment="1">
      <alignment vertical="center" wrapText="1"/>
    </xf>
    <xf numFmtId="0" fontId="8" fillId="0" borderId="4" xfId="0" applyFont="1" applyBorder="1" applyAlignment="1">
      <alignment horizontal="left" vertical="center"/>
    </xf>
    <xf numFmtId="0" fontId="11" fillId="0" borderId="4" xfId="0" applyFont="1" applyBorder="1" applyAlignment="1">
      <alignment horizontal="left" vertical="center" wrapText="1"/>
    </xf>
    <xf numFmtId="0" fontId="13" fillId="0" borderId="4" xfId="0" applyFont="1" applyBorder="1" applyAlignment="1">
      <alignment vertical="center" wrapText="1"/>
    </xf>
    <xf numFmtId="0" fontId="13" fillId="0" borderId="4" xfId="0" applyFont="1" applyBorder="1" applyAlignment="1">
      <alignment horizontal="left" vertical="center" wrapText="1"/>
    </xf>
    <xf numFmtId="165" fontId="0" fillId="0" borderId="0" xfId="0" applyNumberFormat="1"/>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164" fontId="9" fillId="0" borderId="2"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164" fontId="8" fillId="0" borderId="8"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9" fillId="0" borderId="4" xfId="0" applyFont="1" applyBorder="1" applyAlignment="1">
      <alignment horizontal="left" vertical="center" wrapText="1"/>
    </xf>
    <xf numFmtId="0" fontId="8" fillId="0" borderId="4" xfId="0" applyFont="1" applyBorder="1" applyAlignment="1">
      <alignment horizontal="right" vertical="center" wrapText="1"/>
    </xf>
    <xf numFmtId="0" fontId="8" fillId="0" borderId="0" xfId="0" applyFont="1" applyAlignment="1">
      <alignment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vertical="center" wrapText="1"/>
    </xf>
    <xf numFmtId="0" fontId="13"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0" xfId="0" applyFont="1" applyAlignment="1">
      <alignment vertical="center" wrapText="1"/>
    </xf>
    <xf numFmtId="164" fontId="8" fillId="0" borderId="4" xfId="1"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9" fillId="0" borderId="8" xfId="0" applyFont="1" applyBorder="1" applyAlignment="1">
      <alignment horizontal="center" vertical="center"/>
    </xf>
    <xf numFmtId="0" fontId="8" fillId="0" borderId="0" xfId="0" applyFont="1" applyAlignment="1">
      <alignment horizontal="center" vertical="center"/>
    </xf>
    <xf numFmtId="0" fontId="9" fillId="0" borderId="4" xfId="0" applyFont="1" applyBorder="1" applyAlignment="1">
      <alignment horizontal="right" vertical="center" wrapText="1"/>
    </xf>
    <xf numFmtId="0" fontId="9"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8" fillId="0" borderId="0" xfId="0" applyFont="1" applyAlignment="1">
      <alignment horizontal="left" vertical="center" wrapText="1"/>
    </xf>
    <xf numFmtId="164" fontId="8" fillId="0" borderId="4" xfId="1" applyFont="1" applyFill="1" applyBorder="1" applyAlignment="1">
      <alignment horizontal="center" vertical="center"/>
    </xf>
    <xf numFmtId="0" fontId="14" fillId="0" borderId="8" xfId="0" applyFont="1" applyBorder="1" applyAlignment="1">
      <alignment horizontal="center" vertical="center"/>
    </xf>
    <xf numFmtId="165" fontId="14" fillId="0" borderId="8" xfId="0" applyNumberFormat="1" applyFont="1" applyBorder="1" applyAlignment="1">
      <alignment horizontal="center" vertical="center"/>
    </xf>
    <xf numFmtId="165" fontId="13" fillId="0" borderId="8" xfId="0" applyNumberFormat="1" applyFont="1" applyBorder="1" applyAlignment="1">
      <alignment horizontal="left" vertical="center"/>
    </xf>
    <xf numFmtId="0" fontId="13" fillId="0" borderId="8" xfId="0" applyFont="1" applyBorder="1" applyAlignment="1">
      <alignment horizontal="center" vertical="center"/>
    </xf>
    <xf numFmtId="0" fontId="12" fillId="0" borderId="4" xfId="0" applyFont="1" applyBorder="1" applyAlignment="1">
      <alignment vertical="center" wrapText="1"/>
    </xf>
    <xf numFmtId="0" fontId="9" fillId="0" borderId="4" xfId="0" applyFont="1" applyBorder="1" applyAlignment="1">
      <alignment horizontal="center" vertical="center"/>
    </xf>
    <xf numFmtId="166" fontId="0" fillId="0" borderId="0" xfId="2" applyNumberFormat="1" applyFont="1" applyAlignment="1">
      <alignment vertical="center"/>
    </xf>
    <xf numFmtId="168" fontId="0" fillId="0" borderId="0" xfId="2" applyNumberFormat="1" applyFont="1"/>
    <xf numFmtId="4" fontId="8" fillId="0" borderId="4" xfId="0" applyNumberFormat="1" applyFont="1" applyBorder="1" applyAlignment="1">
      <alignment horizontal="center" vertical="center" wrapText="1"/>
    </xf>
    <xf numFmtId="49" fontId="13" fillId="0" borderId="4" xfId="0" applyNumberFormat="1" applyFont="1" applyBorder="1" applyAlignment="1">
      <alignment horizontal="left" vertical="top" wrapText="1"/>
    </xf>
    <xf numFmtId="49" fontId="13" fillId="0" borderId="4" xfId="0" applyNumberFormat="1" applyFont="1" applyBorder="1" applyAlignment="1">
      <alignment horizontal="center" vertical="top" wrapText="1"/>
    </xf>
    <xf numFmtId="0" fontId="13" fillId="0" borderId="4" xfId="0" applyFont="1" applyBorder="1" applyAlignment="1">
      <alignment horizontal="center" vertical="top" wrapText="1"/>
    </xf>
    <xf numFmtId="3" fontId="8" fillId="0" borderId="4" xfId="0" applyNumberFormat="1" applyFont="1" applyBorder="1" applyAlignment="1">
      <alignment horizontal="center" vertical="center" wrapText="1"/>
    </xf>
    <xf numFmtId="3" fontId="8" fillId="0" borderId="4" xfId="0" applyNumberFormat="1" applyFont="1" applyBorder="1" applyAlignment="1">
      <alignment horizontal="center" vertical="center"/>
    </xf>
    <xf numFmtId="170" fontId="8" fillId="0" borderId="4" xfId="0" applyNumberFormat="1" applyFont="1" applyBorder="1" applyAlignment="1">
      <alignment horizontal="center" vertical="center" wrapText="1"/>
    </xf>
    <xf numFmtId="170" fontId="8" fillId="0" borderId="4" xfId="0" applyNumberFormat="1" applyFont="1" applyBorder="1" applyAlignment="1">
      <alignment horizontal="center" vertical="center"/>
    </xf>
    <xf numFmtId="170" fontId="13" fillId="0" borderId="4" xfId="0" applyNumberFormat="1" applyFont="1" applyBorder="1" applyAlignment="1">
      <alignment horizontal="center" vertical="center" wrapText="1"/>
    </xf>
    <xf numFmtId="170" fontId="9" fillId="0" borderId="4" xfId="0" applyNumberFormat="1" applyFont="1" applyBorder="1" applyAlignment="1">
      <alignment horizontal="center" vertical="center" wrapText="1"/>
    </xf>
    <xf numFmtId="170" fontId="8" fillId="0" borderId="0" xfId="0" applyNumberFormat="1" applyFont="1" applyAlignment="1">
      <alignment horizontal="center" vertical="center"/>
    </xf>
    <xf numFmtId="49" fontId="14" fillId="0" borderId="4" xfId="0" applyNumberFormat="1" applyFont="1" applyBorder="1" applyAlignment="1">
      <alignment horizontal="left" vertical="top" wrapText="1"/>
    </xf>
    <xf numFmtId="0" fontId="11" fillId="0" borderId="4" xfId="0" applyFont="1" applyBorder="1" applyAlignment="1">
      <alignment horizontal="center" vertical="center" wrapText="1"/>
    </xf>
    <xf numFmtId="166" fontId="8" fillId="0" borderId="4" xfId="0" applyNumberFormat="1" applyFont="1" applyBorder="1" applyAlignment="1">
      <alignment vertical="center"/>
    </xf>
    <xf numFmtId="3" fontId="9" fillId="0" borderId="8" xfId="0" applyNumberFormat="1" applyFont="1" applyBorder="1" applyAlignment="1">
      <alignment horizontal="center" vertical="center"/>
    </xf>
    <xf numFmtId="3" fontId="8" fillId="0" borderId="2" xfId="0" applyNumberFormat="1" applyFont="1" applyBorder="1" applyAlignment="1">
      <alignment horizontal="center" vertical="center"/>
    </xf>
    <xf numFmtId="0" fontId="11" fillId="0" borderId="4" xfId="0" applyFont="1" applyBorder="1" applyAlignment="1">
      <alignment horizontal="center" vertical="center"/>
    </xf>
    <xf numFmtId="49" fontId="15" fillId="0" borderId="4" xfId="0" applyNumberFormat="1" applyFont="1" applyBorder="1" applyAlignment="1">
      <alignment horizontal="center" vertical="top" wrapText="1"/>
    </xf>
    <xf numFmtId="49" fontId="15" fillId="0" borderId="4" xfId="0" applyNumberFormat="1" applyFont="1" applyBorder="1" applyAlignment="1">
      <alignment horizontal="left" vertical="top" wrapText="1"/>
    </xf>
    <xf numFmtId="3" fontId="8" fillId="0" borderId="0" xfId="0" applyNumberFormat="1" applyFont="1" applyAlignment="1">
      <alignment horizontal="center" vertical="center"/>
    </xf>
    <xf numFmtId="170" fontId="13" fillId="0" borderId="4" xfId="0" applyNumberFormat="1" applyFont="1" applyBorder="1" applyAlignment="1">
      <alignment horizontal="center" vertical="center"/>
    </xf>
    <xf numFmtId="3" fontId="8" fillId="0" borderId="4" xfId="1" applyNumberFormat="1" applyFont="1" applyFill="1" applyBorder="1" applyAlignment="1">
      <alignment horizontal="center" vertical="center"/>
    </xf>
    <xf numFmtId="3" fontId="13" fillId="0" borderId="4" xfId="0" applyNumberFormat="1" applyFont="1" applyBorder="1" applyAlignment="1">
      <alignment horizontal="center" vertical="center" wrapText="1"/>
    </xf>
    <xf numFmtId="0" fontId="20" fillId="0" borderId="4" xfId="0" applyFont="1" applyBorder="1" applyAlignment="1">
      <alignment horizontal="left" vertical="center" wrapText="1"/>
    </xf>
    <xf numFmtId="0" fontId="9" fillId="0" borderId="8" xfId="0" applyFont="1" applyBorder="1" applyAlignment="1">
      <alignment horizontal="center" vertical="center" wrapText="1"/>
    </xf>
    <xf numFmtId="170" fontId="9" fillId="0" borderId="8"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0" fontId="15" fillId="0" borderId="3" xfId="0" applyFont="1" applyBorder="1" applyAlignment="1">
      <alignment horizontal="center" vertical="center" wrapText="1"/>
    </xf>
    <xf numFmtId="164" fontId="9" fillId="0" borderId="8" xfId="1" applyFont="1" applyFill="1" applyBorder="1" applyAlignment="1">
      <alignment horizontal="center" vertical="center"/>
    </xf>
    <xf numFmtId="3" fontId="9" fillId="0" borderId="4" xfId="0" applyNumberFormat="1" applyFont="1" applyBorder="1" applyAlignment="1">
      <alignment horizontal="center" vertical="center" wrapText="1"/>
    </xf>
    <xf numFmtId="9" fontId="8" fillId="0" borderId="4" xfId="2" applyFont="1" applyFill="1" applyBorder="1" applyAlignment="1">
      <alignment horizontal="center" vertical="center"/>
    </xf>
    <xf numFmtId="0" fontId="8" fillId="0" borderId="11" xfId="0" applyFont="1" applyBorder="1" applyAlignment="1">
      <alignment horizontal="center" vertical="center"/>
    </xf>
    <xf numFmtId="0" fontId="8" fillId="0" borderId="11" xfId="0" applyFont="1" applyBorder="1"/>
    <xf numFmtId="0" fontId="8" fillId="0" borderId="3" xfId="0" applyFont="1" applyBorder="1"/>
    <xf numFmtId="170" fontId="13" fillId="0" borderId="2" xfId="0" applyNumberFormat="1" applyFont="1" applyBorder="1" applyAlignment="1">
      <alignment horizontal="center" vertical="center" wrapText="1"/>
    </xf>
    <xf numFmtId="0" fontId="9" fillId="0" borderId="3" xfId="0" applyFont="1" applyBorder="1" applyAlignment="1">
      <alignment horizontal="center" vertical="center"/>
    </xf>
    <xf numFmtId="164" fontId="9" fillId="0" borderId="8"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3" fontId="8" fillId="0" borderId="11" xfId="0" applyNumberFormat="1" applyFont="1" applyBorder="1"/>
    <xf numFmtId="3" fontId="8" fillId="0" borderId="0" xfId="0" applyNumberFormat="1" applyFont="1"/>
    <xf numFmtId="0" fontId="8" fillId="0" borderId="5" xfId="0" applyFont="1" applyBorder="1" applyAlignment="1">
      <alignment horizontal="center" vertical="center"/>
    </xf>
    <xf numFmtId="170" fontId="9" fillId="0" borderId="8" xfId="0" applyNumberFormat="1" applyFont="1" applyBorder="1" applyAlignment="1">
      <alignment horizontal="center" vertical="center"/>
    </xf>
    <xf numFmtId="167" fontId="0" fillId="0" borderId="0" xfId="0" applyNumberFormat="1"/>
    <xf numFmtId="164" fontId="0" fillId="0" borderId="0" xfId="1" applyFont="1"/>
    <xf numFmtId="9" fontId="0" fillId="0" borderId="0" xfId="0" applyNumberFormat="1"/>
    <xf numFmtId="164" fontId="9" fillId="0" borderId="8" xfId="1" applyFont="1" applyFill="1" applyBorder="1" applyAlignment="1">
      <alignment horizontal="center" vertical="center" wrapText="1"/>
    </xf>
    <xf numFmtId="164" fontId="8" fillId="0" borderId="0" xfId="1" applyFont="1" applyFill="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wrapText="1"/>
    </xf>
    <xf numFmtId="171" fontId="8" fillId="0" borderId="4" xfId="0" applyNumberFormat="1" applyFont="1" applyBorder="1" applyAlignment="1">
      <alignment horizontal="center" vertical="center" wrapText="1"/>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4" fillId="0" borderId="3" xfId="0" applyFont="1" applyBorder="1" applyAlignment="1">
      <alignment horizontal="center" vertical="center" wrapText="1"/>
    </xf>
    <xf numFmtId="165" fontId="14" fillId="0" borderId="1" xfId="0" applyNumberFormat="1" applyFont="1" applyBorder="1" applyAlignment="1">
      <alignment horizontal="left"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171" fontId="13" fillId="0" borderId="4" xfId="0" applyNumberFormat="1" applyFont="1" applyBorder="1" applyAlignment="1">
      <alignment horizontal="center" vertical="center" wrapText="1"/>
    </xf>
    <xf numFmtId="0" fontId="13" fillId="0" borderId="3" xfId="0" applyFont="1" applyBorder="1" applyAlignment="1">
      <alignment horizontal="center" vertical="top" wrapText="1"/>
    </xf>
    <xf numFmtId="49" fontId="13" fillId="0" borderId="3" xfId="0" applyNumberFormat="1" applyFont="1" applyBorder="1" applyAlignment="1">
      <alignment horizontal="center" vertical="top" wrapText="1"/>
    </xf>
    <xf numFmtId="165" fontId="14" fillId="0" borderId="3" xfId="0" applyNumberFormat="1" applyFont="1" applyBorder="1" applyAlignment="1">
      <alignment horizontal="left" vertical="center"/>
    </xf>
    <xf numFmtId="165" fontId="13" fillId="0" borderId="3"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170" fontId="1" fillId="0" borderId="4"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left" vertical="top" wrapText="1"/>
    </xf>
    <xf numFmtId="0" fontId="1" fillId="0" borderId="0" xfId="0" applyFont="1" applyAlignment="1">
      <alignment vertical="center"/>
    </xf>
    <xf numFmtId="0" fontId="1" fillId="0" borderId="4" xfId="0" applyFont="1" applyBorder="1" applyAlignment="1">
      <alignment horizontal="center" vertical="center"/>
    </xf>
    <xf numFmtId="2" fontId="1" fillId="0" borderId="4" xfId="1" applyNumberFormat="1" applyFont="1" applyFill="1" applyBorder="1" applyAlignment="1">
      <alignment horizontal="center" vertical="top"/>
    </xf>
    <xf numFmtId="2" fontId="1" fillId="0" borderId="4" xfId="0" applyNumberFormat="1" applyFont="1" applyBorder="1" applyAlignment="1">
      <alignment horizontal="center" vertical="top"/>
    </xf>
    <xf numFmtId="2" fontId="13" fillId="0" borderId="4" xfId="0" applyNumberFormat="1" applyFont="1" applyBorder="1" applyAlignment="1">
      <alignment horizontal="center" vertical="top" wrapText="1"/>
    </xf>
    <xf numFmtId="2" fontId="1" fillId="0" borderId="4" xfId="0" applyNumberFormat="1" applyFont="1" applyBorder="1" applyAlignment="1">
      <alignment horizontal="center" vertical="top" wrapText="1"/>
    </xf>
    <xf numFmtId="2" fontId="13" fillId="0" borderId="4" xfId="0" applyNumberFormat="1" applyFont="1" applyBorder="1" applyAlignment="1" applyProtection="1">
      <alignment horizontal="center" vertical="top" wrapText="1"/>
      <protection locked="0"/>
    </xf>
    <xf numFmtId="2" fontId="1" fillId="0" borderId="0" xfId="0" applyNumberFormat="1" applyFont="1" applyAlignment="1">
      <alignment horizontal="center" vertical="top"/>
    </xf>
    <xf numFmtId="2" fontId="13" fillId="0" borderId="4" xfId="0" applyNumberFormat="1" applyFont="1" applyBorder="1" applyAlignment="1">
      <alignment horizontal="center" vertical="top"/>
    </xf>
    <xf numFmtId="2" fontId="13" fillId="0" borderId="3" xfId="0" applyNumberFormat="1" applyFont="1" applyBorder="1" applyAlignment="1">
      <alignment horizontal="center" vertical="top"/>
    </xf>
    <xf numFmtId="2" fontId="13" fillId="0" borderId="4" xfId="1" applyNumberFormat="1" applyFont="1" applyFill="1" applyBorder="1" applyAlignment="1">
      <alignment horizontal="center" vertical="top"/>
    </xf>
    <xf numFmtId="2" fontId="1" fillId="0" borderId="3" xfId="0" applyNumberFormat="1" applyFont="1" applyBorder="1" applyAlignment="1">
      <alignment horizontal="center" vertical="top"/>
    </xf>
    <xf numFmtId="2" fontId="1" fillId="0" borderId="3" xfId="0" applyNumberFormat="1" applyFont="1" applyBorder="1" applyAlignment="1">
      <alignment horizontal="center" vertical="top" wrapText="1"/>
    </xf>
    <xf numFmtId="2" fontId="13" fillId="0" borderId="3" xfId="0" applyNumberFormat="1" applyFont="1" applyBorder="1" applyAlignment="1">
      <alignment horizontal="center" vertical="top" wrapText="1"/>
    </xf>
    <xf numFmtId="0" fontId="1" fillId="0" borderId="4" xfId="0" applyFont="1" applyBorder="1" applyAlignment="1">
      <alignment horizontal="left" vertical="center"/>
    </xf>
    <xf numFmtId="0" fontId="13" fillId="0" borderId="4" xfId="0" applyFont="1" applyBorder="1" applyAlignment="1">
      <alignment horizontal="left" vertical="top" wrapText="1"/>
    </xf>
    <xf numFmtId="0" fontId="1" fillId="0" borderId="3" xfId="0" applyFont="1" applyBorder="1" applyAlignment="1">
      <alignment vertical="center"/>
    </xf>
    <xf numFmtId="0" fontId="1" fillId="0" borderId="6" xfId="0" applyFont="1" applyBorder="1" applyAlignment="1">
      <alignment horizontal="center" vertical="center" wrapText="1"/>
    </xf>
    <xf numFmtId="49" fontId="14" fillId="0" borderId="4" xfId="0" applyNumberFormat="1" applyFont="1" applyBorder="1" applyAlignment="1">
      <alignment horizontal="center" vertical="top" wrapText="1"/>
    </xf>
    <xf numFmtId="170" fontId="1" fillId="0" borderId="4" xfId="0" applyNumberFormat="1" applyFont="1"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vertical="top"/>
    </xf>
    <xf numFmtId="0" fontId="1" fillId="0" borderId="4" xfId="0" applyFont="1" applyBorder="1" applyAlignment="1">
      <alignment horizontal="center" vertical="top"/>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164" fontId="1" fillId="0" borderId="4" xfId="0" applyNumberFormat="1" applyFont="1" applyBorder="1" applyAlignment="1">
      <alignment horizontal="center" vertical="center" wrapText="1"/>
    </xf>
    <xf numFmtId="4" fontId="1" fillId="0" borderId="4" xfId="1" applyNumberFormat="1" applyFont="1" applyFill="1" applyBorder="1" applyAlignment="1">
      <alignment horizontal="center" vertical="center"/>
    </xf>
    <xf numFmtId="0" fontId="9" fillId="0" borderId="8" xfId="0" applyFont="1" applyBorder="1" applyAlignment="1">
      <alignment horizontal="left" vertical="center"/>
    </xf>
    <xf numFmtId="0" fontId="9" fillId="0" borderId="8" xfId="0" applyFont="1" applyBorder="1" applyAlignment="1">
      <alignment horizontal="left" vertical="center" wrapText="1"/>
    </xf>
    <xf numFmtId="3" fontId="1" fillId="0" borderId="4" xfId="0" applyNumberFormat="1" applyFont="1" applyBorder="1" applyAlignment="1">
      <alignment horizontal="center" vertical="center"/>
    </xf>
    <xf numFmtId="0" fontId="1" fillId="0" borderId="3"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wrapText="1"/>
    </xf>
    <xf numFmtId="0" fontId="14" fillId="0" borderId="4" xfId="0" applyFont="1" applyBorder="1" applyAlignment="1">
      <alignment horizontal="center" vertical="top" wrapText="1"/>
    </xf>
    <xf numFmtId="49" fontId="21" fillId="0" borderId="4" xfId="0" applyNumberFormat="1" applyFont="1" applyBorder="1" applyAlignment="1">
      <alignment horizontal="left" vertical="top" wrapText="1"/>
    </xf>
    <xf numFmtId="0" fontId="6" fillId="0" borderId="0" xfId="0" applyFont="1" applyAlignment="1">
      <alignment horizontal="left" vertical="center" indent="1"/>
    </xf>
    <xf numFmtId="9" fontId="8" fillId="0" borderId="0" xfId="2" applyFont="1" applyAlignment="1">
      <alignment vertical="center"/>
    </xf>
    <xf numFmtId="164" fontId="9" fillId="0" borderId="8" xfId="0" applyNumberFormat="1" applyFont="1" applyBorder="1" applyAlignment="1">
      <alignment horizontal="center" vertical="center"/>
    </xf>
    <xf numFmtId="164" fontId="1" fillId="0" borderId="8" xfId="0" applyNumberFormat="1" applyFont="1" applyBorder="1" applyAlignment="1">
      <alignment horizontal="center" vertical="center" wrapText="1"/>
    </xf>
    <xf numFmtId="164" fontId="9" fillId="0" borderId="8" xfId="1" applyFont="1" applyBorder="1" applyAlignment="1">
      <alignment vertical="center"/>
    </xf>
    <xf numFmtId="164" fontId="14" fillId="0" borderId="3" xfId="1" applyFont="1" applyBorder="1" applyAlignment="1">
      <alignment horizontal="left" vertical="center"/>
    </xf>
    <xf numFmtId="0" fontId="8" fillId="0" borderId="11" xfId="0" applyFont="1" applyBorder="1" applyAlignment="1">
      <alignment vertical="center"/>
    </xf>
    <xf numFmtId="0" fontId="1" fillId="3" borderId="4" xfId="0" applyFont="1" applyFill="1" applyBorder="1" applyAlignment="1">
      <alignment horizontal="center" vertical="center"/>
    </xf>
    <xf numFmtId="0" fontId="1" fillId="3" borderId="4" xfId="0" applyFont="1" applyFill="1" applyBorder="1" applyAlignment="1">
      <alignment vertical="center"/>
    </xf>
    <xf numFmtId="0" fontId="18" fillId="0" borderId="0" xfId="0" applyFont="1" applyAlignment="1">
      <alignment vertical="center"/>
    </xf>
    <xf numFmtId="170" fontId="1" fillId="0" borderId="4" xfId="0" applyNumberFormat="1" applyFont="1" applyBorder="1" applyAlignment="1">
      <alignment vertical="center"/>
    </xf>
    <xf numFmtId="0" fontId="11" fillId="0" borderId="4" xfId="0" applyFont="1" applyBorder="1" applyAlignment="1">
      <alignment vertical="center"/>
    </xf>
    <xf numFmtId="170" fontId="1" fillId="0" borderId="0" xfId="0" applyNumberFormat="1" applyFont="1" applyAlignment="1">
      <alignment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49" fontId="14" fillId="0" borderId="4" xfId="3" applyNumberFormat="1" applyFont="1" applyBorder="1" applyAlignment="1">
      <alignment horizontal="left" vertical="center" wrapText="1"/>
    </xf>
    <xf numFmtId="169" fontId="13" fillId="0" borderId="4" xfId="3" applyNumberFormat="1" applyFont="1" applyBorder="1" applyAlignment="1">
      <alignment horizontal="right" vertical="center" wrapText="1"/>
    </xf>
    <xf numFmtId="0" fontId="13" fillId="2" borderId="4" xfId="3" applyFont="1" applyFill="1" applyBorder="1" applyAlignment="1">
      <alignment vertical="center" wrapText="1"/>
    </xf>
    <xf numFmtId="49" fontId="13" fillId="0" borderId="4" xfId="3" applyNumberFormat="1" applyFont="1" applyBorder="1" applyAlignment="1">
      <alignment horizontal="left" vertical="center" wrapText="1"/>
    </xf>
    <xf numFmtId="49" fontId="13" fillId="0" borderId="4" xfId="3" applyNumberFormat="1" applyFont="1" applyBorder="1" applyAlignment="1">
      <alignment horizontal="center" vertical="center" wrapText="1"/>
    </xf>
    <xf numFmtId="49" fontId="14" fillId="0" borderId="4" xfId="3" applyNumberFormat="1" applyFont="1" applyBorder="1" applyAlignment="1">
      <alignment horizontal="center" vertical="center" wrapText="1"/>
    </xf>
    <xf numFmtId="0" fontId="13" fillId="2" borderId="4" xfId="3"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left" vertical="center"/>
    </xf>
    <xf numFmtId="0" fontId="12" fillId="0" borderId="3" xfId="0" applyFont="1" applyBorder="1" applyAlignment="1">
      <alignment horizontal="center" vertical="center" wrapText="1"/>
    </xf>
    <xf numFmtId="0" fontId="29" fillId="0" borderId="0" xfId="0" applyFont="1" applyAlignment="1">
      <alignment vertical="center"/>
    </xf>
    <xf numFmtId="0" fontId="30" fillId="0" borderId="0" xfId="0" applyFont="1" applyAlignment="1">
      <alignment vertical="center"/>
    </xf>
    <xf numFmtId="170" fontId="13" fillId="0" borderId="4" xfId="3" applyNumberFormat="1" applyFont="1" applyBorder="1" applyAlignment="1">
      <alignment horizontal="center" vertical="center"/>
    </xf>
    <xf numFmtId="170" fontId="13" fillId="2" borderId="4" xfId="3" applyNumberFormat="1" applyFont="1" applyFill="1" applyBorder="1" applyAlignment="1">
      <alignment horizontal="center" vertical="center"/>
    </xf>
    <xf numFmtId="170" fontId="13" fillId="0" borderId="4" xfId="0" applyNumberFormat="1" applyFont="1" applyBorder="1" applyAlignment="1">
      <alignment horizontal="center" vertical="top" wrapText="1"/>
    </xf>
    <xf numFmtId="170" fontId="1" fillId="0" borderId="4" xfId="0" applyNumberFormat="1" applyFont="1" applyBorder="1" applyAlignment="1">
      <alignment horizontal="center" vertical="top"/>
    </xf>
    <xf numFmtId="164" fontId="9" fillId="0" borderId="8" xfId="1" applyFont="1" applyBorder="1" applyAlignment="1">
      <alignment vertical="center" wrapText="1"/>
    </xf>
    <xf numFmtId="0" fontId="12" fillId="0" borderId="4" xfId="0" applyFont="1" applyBorder="1" applyAlignment="1">
      <alignment vertical="center"/>
    </xf>
    <xf numFmtId="0" fontId="9" fillId="0" borderId="4" xfId="0" applyFont="1" applyBorder="1" applyAlignment="1">
      <alignment vertical="center"/>
    </xf>
    <xf numFmtId="0" fontId="1" fillId="0" borderId="2" xfId="0" applyFont="1" applyBorder="1" applyAlignment="1">
      <alignment vertical="center"/>
    </xf>
    <xf numFmtId="3" fontId="1" fillId="0" borderId="0" xfId="0" applyNumberFormat="1" applyFont="1" applyAlignment="1">
      <alignment horizontal="center" vertical="center"/>
    </xf>
    <xf numFmtId="169" fontId="13" fillId="0" borderId="4" xfId="3" applyNumberFormat="1" applyFont="1" applyBorder="1" applyAlignment="1">
      <alignment horizontal="center" vertical="center" wrapText="1"/>
    </xf>
    <xf numFmtId="169" fontId="13" fillId="0" borderId="4" xfId="3" applyNumberFormat="1" applyFont="1" applyBorder="1" applyAlignment="1" applyProtection="1">
      <alignment horizontal="center" vertical="center" wrapText="1"/>
      <protection locked="0"/>
    </xf>
    <xf numFmtId="0" fontId="13" fillId="3" borderId="4" xfId="3" applyFont="1" applyFill="1" applyBorder="1" applyAlignment="1">
      <alignment horizontal="center" vertical="center" wrapText="1"/>
    </xf>
    <xf numFmtId="3" fontId="1" fillId="0" borderId="2" xfId="0" applyNumberFormat="1" applyFont="1" applyBorder="1" applyAlignment="1">
      <alignment horizontal="center" vertical="center"/>
    </xf>
    <xf numFmtId="170" fontId="1" fillId="0" borderId="2" xfId="0" applyNumberFormat="1" applyFont="1" applyBorder="1" applyAlignment="1">
      <alignment horizontal="center" vertical="center"/>
    </xf>
    <xf numFmtId="3" fontId="8" fillId="0" borderId="0" xfId="0" applyNumberFormat="1" applyFont="1" applyAlignment="1">
      <alignment vertical="center"/>
    </xf>
    <xf numFmtId="0" fontId="13" fillId="0" borderId="8" xfId="0" applyFont="1" applyBorder="1" applyAlignment="1">
      <alignment horizontal="left" vertical="center"/>
    </xf>
    <xf numFmtId="0" fontId="14" fillId="0" borderId="8" xfId="0" applyFont="1" applyBorder="1" applyAlignment="1">
      <alignment horizontal="left" vertical="center"/>
    </xf>
    <xf numFmtId="0" fontId="1" fillId="0" borderId="5" xfId="0" applyFont="1" applyBorder="1" applyAlignment="1">
      <alignment vertical="top" wrapText="1"/>
    </xf>
    <xf numFmtId="0" fontId="1" fillId="0" borderId="6" xfId="0" applyFont="1" applyBorder="1" applyAlignment="1">
      <alignment horizontal="center" vertical="top" wrapText="1"/>
    </xf>
    <xf numFmtId="0" fontId="1" fillId="0" borderId="0" xfId="0" applyFont="1" applyAlignment="1">
      <alignment vertical="top"/>
    </xf>
    <xf numFmtId="0" fontId="9" fillId="3" borderId="4" xfId="0" applyFont="1" applyFill="1" applyBorder="1" applyAlignment="1">
      <alignment horizontal="center" vertical="top"/>
    </xf>
    <xf numFmtId="0" fontId="9" fillId="3" borderId="4" xfId="0" applyFont="1" applyFill="1" applyBorder="1" applyAlignment="1">
      <alignment horizontal="center" vertical="top" wrapText="1"/>
    </xf>
    <xf numFmtId="0" fontId="9" fillId="0" borderId="4" xfId="0" applyFont="1" applyBorder="1" applyAlignment="1">
      <alignment horizontal="center" vertical="top"/>
    </xf>
    <xf numFmtId="0" fontId="9" fillId="0" borderId="4" xfId="0" applyFont="1" applyBorder="1" applyAlignment="1">
      <alignment horizontal="center" vertical="top" wrapText="1"/>
    </xf>
    <xf numFmtId="170" fontId="9" fillId="0" borderId="4" xfId="0" applyNumberFormat="1" applyFont="1" applyBorder="1" applyAlignment="1">
      <alignment horizontal="center" vertical="top" wrapText="1"/>
    </xf>
    <xf numFmtId="164" fontId="1" fillId="0" borderId="4" xfId="1" applyFont="1" applyFill="1" applyBorder="1" applyAlignment="1">
      <alignment horizontal="center" vertical="top"/>
    </xf>
    <xf numFmtId="0" fontId="1" fillId="0" borderId="4" xfId="0" applyFont="1" applyBorder="1" applyAlignment="1">
      <alignment horizontal="center" vertical="top" wrapText="1"/>
    </xf>
    <xf numFmtId="170" fontId="13" fillId="0" borderId="4" xfId="0" applyNumberFormat="1" applyFont="1" applyBorder="1" applyAlignment="1">
      <alignment horizontal="center" vertical="top"/>
    </xf>
    <xf numFmtId="0" fontId="11" fillId="0" borderId="4"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center" vertical="top" wrapText="1"/>
    </xf>
    <xf numFmtId="0" fontId="9" fillId="0" borderId="4" xfId="0" applyFont="1" applyBorder="1" applyAlignment="1">
      <alignment horizontal="right" vertical="top" wrapText="1"/>
    </xf>
    <xf numFmtId="170" fontId="9" fillId="0" borderId="4" xfId="0" applyNumberFormat="1" applyFont="1" applyBorder="1" applyAlignment="1">
      <alignment horizontal="right" vertical="top" wrapText="1"/>
    </xf>
    <xf numFmtId="166" fontId="9" fillId="0" borderId="4" xfId="0" applyNumberFormat="1" applyFont="1" applyBorder="1" applyAlignment="1">
      <alignment horizontal="center" vertical="top" wrapText="1"/>
    </xf>
    <xf numFmtId="0" fontId="9" fillId="0" borderId="4" xfId="0" applyFont="1" applyBorder="1" applyAlignment="1">
      <alignment vertical="top" wrapText="1"/>
    </xf>
    <xf numFmtId="170" fontId="1" fillId="0" borderId="4" xfId="0" applyNumberFormat="1" applyFont="1" applyBorder="1" applyAlignment="1">
      <alignment horizontal="center" vertical="top" wrapText="1"/>
    </xf>
    <xf numFmtId="0" fontId="1" fillId="0" borderId="4" xfId="0" applyFont="1" applyBorder="1" applyAlignment="1">
      <alignment horizontal="left" vertical="top"/>
    </xf>
    <xf numFmtId="0" fontId="11" fillId="0" borderId="4" xfId="0" applyFont="1" applyBorder="1" applyAlignment="1">
      <alignment horizontal="center" vertical="top" wrapText="1"/>
    </xf>
    <xf numFmtId="169" fontId="13" fillId="0" borderId="4" xfId="0" applyNumberFormat="1" applyFont="1" applyBorder="1" applyAlignment="1">
      <alignment horizontal="center" vertical="top" wrapText="1"/>
    </xf>
    <xf numFmtId="170" fontId="1" fillId="0" borderId="3" xfId="0" applyNumberFormat="1" applyFont="1" applyBorder="1" applyAlignment="1">
      <alignment horizontal="center" vertical="top"/>
    </xf>
    <xf numFmtId="170" fontId="1" fillId="0" borderId="0" xfId="0" applyNumberFormat="1" applyFont="1" applyAlignment="1">
      <alignment horizontal="center" vertical="top"/>
    </xf>
    <xf numFmtId="0" fontId="0" fillId="0" borderId="0" xfId="0" applyAlignment="1">
      <alignment vertical="top"/>
    </xf>
    <xf numFmtId="0" fontId="1" fillId="0" borderId="0" xfId="0" applyFont="1" applyAlignment="1">
      <alignment horizontal="center" vertical="top"/>
    </xf>
    <xf numFmtId="0" fontId="9" fillId="0" borderId="3" xfId="0" applyFont="1" applyBorder="1" applyAlignment="1">
      <alignment horizontal="center" vertical="top" wrapText="1"/>
    </xf>
    <xf numFmtId="0" fontId="14" fillId="0" borderId="4" xfId="0" applyFont="1" applyBorder="1" applyAlignment="1">
      <alignment vertical="top" wrapText="1"/>
    </xf>
    <xf numFmtId="0" fontId="8" fillId="0" borderId="4" xfId="0" applyFont="1" applyBorder="1" applyAlignment="1">
      <alignment horizontal="center" vertical="top" wrapText="1"/>
    </xf>
    <xf numFmtId="3" fontId="13" fillId="0" borderId="4" xfId="0" applyNumberFormat="1" applyFont="1" applyBorder="1" applyAlignment="1" applyProtection="1">
      <alignment horizontal="center" vertical="top" wrapText="1"/>
      <protection locked="0"/>
    </xf>
    <xf numFmtId="0" fontId="14" fillId="0" borderId="3" xfId="0" applyFont="1" applyBorder="1" applyAlignment="1">
      <alignment horizontal="center" vertical="top" wrapText="1"/>
    </xf>
    <xf numFmtId="164" fontId="8" fillId="0" borderId="4" xfId="1" applyFont="1" applyFill="1" applyBorder="1" applyAlignment="1">
      <alignment horizontal="center" vertical="top"/>
    </xf>
    <xf numFmtId="0" fontId="1" fillId="0" borderId="4" xfId="0" applyFont="1" applyBorder="1" applyAlignment="1">
      <alignment vertical="top" wrapText="1"/>
    </xf>
    <xf numFmtId="3" fontId="8" fillId="0" borderId="4" xfId="1" applyNumberFormat="1" applyFont="1" applyFill="1" applyBorder="1" applyAlignment="1">
      <alignment horizontal="center" vertical="top"/>
    </xf>
    <xf numFmtId="0" fontId="1" fillId="0" borderId="4" xfId="0" applyFont="1" applyBorder="1" applyAlignment="1">
      <alignment vertical="top"/>
    </xf>
    <xf numFmtId="170" fontId="13" fillId="3" borderId="4" xfId="0" applyNumberFormat="1" applyFont="1" applyFill="1" applyBorder="1" applyAlignment="1">
      <alignment horizontal="center" vertical="top"/>
    </xf>
    <xf numFmtId="3" fontId="8" fillId="3" borderId="4" xfId="1" applyNumberFormat="1" applyFont="1" applyFill="1" applyBorder="1" applyAlignment="1">
      <alignment horizontal="center" vertical="top"/>
    </xf>
    <xf numFmtId="164" fontId="8" fillId="3" borderId="4" xfId="1"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applyAlignment="1">
      <alignment horizontal="center" vertical="top"/>
    </xf>
    <xf numFmtId="170" fontId="8" fillId="0" borderId="4" xfId="0" applyNumberFormat="1" applyFont="1" applyBorder="1" applyAlignment="1">
      <alignment horizontal="center" vertical="top"/>
    </xf>
    <xf numFmtId="3" fontId="8" fillId="0" borderId="4" xfId="0" applyNumberFormat="1" applyFont="1" applyBorder="1" applyAlignment="1">
      <alignment horizontal="center" vertical="top"/>
    </xf>
    <xf numFmtId="166" fontId="8" fillId="0" borderId="4" xfId="0" applyNumberFormat="1" applyFont="1" applyBorder="1" applyAlignment="1">
      <alignment vertical="top"/>
    </xf>
    <xf numFmtId="0" fontId="12" fillId="3" borderId="4" xfId="0" applyFont="1" applyFill="1" applyBorder="1" applyAlignment="1">
      <alignment vertical="top" wrapText="1"/>
    </xf>
    <xf numFmtId="49" fontId="21" fillId="0" borderId="4" xfId="0" applyNumberFormat="1" applyFont="1" applyBorder="1" applyAlignment="1">
      <alignment horizontal="left" vertical="top"/>
    </xf>
    <xf numFmtId="0" fontId="8" fillId="0" borderId="3" xfId="0" applyFont="1" applyBorder="1" applyAlignment="1">
      <alignment horizontal="center" vertical="top" wrapText="1"/>
    </xf>
    <xf numFmtId="0" fontId="8" fillId="0" borderId="4" xfId="0" applyFont="1" applyBorder="1" applyAlignment="1">
      <alignment vertical="top" wrapText="1"/>
    </xf>
    <xf numFmtId="0" fontId="13" fillId="0" borderId="3" xfId="0" applyFont="1" applyBorder="1" applyAlignment="1">
      <alignment horizontal="center" vertical="top"/>
    </xf>
    <xf numFmtId="0" fontId="1" fillId="0" borderId="3" xfId="0" applyFont="1" applyBorder="1" applyAlignment="1">
      <alignment horizontal="center" vertical="top"/>
    </xf>
    <xf numFmtId="0" fontId="11" fillId="0" borderId="3" xfId="0" applyFont="1" applyBorder="1" applyAlignment="1">
      <alignment horizontal="center" vertical="top" wrapText="1"/>
    </xf>
    <xf numFmtId="0" fontId="1" fillId="3" borderId="4" xfId="0" applyFont="1" applyFill="1" applyBorder="1" applyAlignment="1">
      <alignment horizontal="center" vertical="top" wrapText="1"/>
    </xf>
    <xf numFmtId="164" fontId="1" fillId="3" borderId="4" xfId="0" applyNumberFormat="1" applyFont="1" applyFill="1" applyBorder="1" applyAlignment="1">
      <alignment horizontal="center" vertical="top" wrapText="1"/>
    </xf>
    <xf numFmtId="0" fontId="11" fillId="3" borderId="4" xfId="0" applyFont="1" applyFill="1" applyBorder="1" applyAlignment="1">
      <alignment vertical="top" wrapText="1"/>
    </xf>
    <xf numFmtId="0" fontId="1" fillId="3" borderId="4" xfId="0" applyFont="1" applyFill="1" applyBorder="1" applyAlignment="1">
      <alignment horizontal="left" vertical="top" wrapText="1"/>
    </xf>
    <xf numFmtId="164" fontId="1" fillId="0" borderId="4" xfId="0" applyNumberFormat="1" applyFont="1" applyBorder="1" applyAlignment="1">
      <alignment horizontal="center" vertical="top" wrapText="1"/>
    </xf>
    <xf numFmtId="0" fontId="8" fillId="0" borderId="3" xfId="0" applyFont="1" applyBorder="1" applyAlignment="1">
      <alignment horizontal="center" vertical="top"/>
    </xf>
    <xf numFmtId="0" fontId="11" fillId="0" borderId="4" xfId="0" applyFont="1" applyBorder="1" applyAlignment="1">
      <alignment vertical="top" wrapText="1"/>
    </xf>
    <xf numFmtId="0" fontId="20" fillId="0" borderId="4" xfId="0" applyFont="1" applyBorder="1" applyAlignment="1">
      <alignment horizontal="left" vertical="top" wrapText="1"/>
    </xf>
    <xf numFmtId="0" fontId="1" fillId="3" borderId="3" xfId="0" applyFont="1" applyFill="1" applyBorder="1" applyAlignment="1">
      <alignment horizontal="center" vertical="center"/>
    </xf>
    <xf numFmtId="170" fontId="1" fillId="3" borderId="4" xfId="0" applyNumberFormat="1" applyFont="1" applyFill="1" applyBorder="1" applyAlignment="1">
      <alignment vertical="center"/>
    </xf>
    <xf numFmtId="3" fontId="1" fillId="3" borderId="4" xfId="0" applyNumberFormat="1" applyFont="1" applyFill="1" applyBorder="1" applyAlignment="1">
      <alignment horizontal="center" vertical="center"/>
    </xf>
    <xf numFmtId="3" fontId="1" fillId="0" borderId="4" xfId="0" applyNumberFormat="1" applyFont="1" applyBorder="1" applyAlignment="1">
      <alignment horizontal="center" vertical="top"/>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0" xfId="0" applyFont="1" applyFill="1" applyBorder="1" applyAlignment="1">
      <alignment vertical="center"/>
    </xf>
    <xf numFmtId="170" fontId="1" fillId="3" borderId="10" xfId="0" applyNumberFormat="1" applyFont="1" applyFill="1" applyBorder="1" applyAlignment="1">
      <alignment vertical="center"/>
    </xf>
    <xf numFmtId="3" fontId="1" fillId="3" borderId="10" xfId="0" applyNumberFormat="1" applyFont="1" applyFill="1" applyBorder="1" applyAlignment="1">
      <alignment horizontal="center" vertical="center"/>
    </xf>
    <xf numFmtId="0" fontId="13" fillId="0" borderId="8" xfId="0" applyFont="1" applyBorder="1" applyAlignment="1">
      <alignment vertical="center"/>
    </xf>
    <xf numFmtId="164" fontId="13" fillId="0" borderId="8" xfId="1" applyFont="1" applyBorder="1" applyAlignment="1">
      <alignment vertical="center"/>
    </xf>
    <xf numFmtId="3" fontId="9" fillId="0" borderId="4" xfId="0" applyNumberFormat="1" applyFont="1" applyBorder="1" applyAlignment="1">
      <alignment horizontal="center" vertical="top" wrapText="1"/>
    </xf>
    <xf numFmtId="0" fontId="9" fillId="0" borderId="4" xfId="0" applyFont="1" applyBorder="1" applyAlignment="1">
      <alignment horizontal="left" vertical="top"/>
    </xf>
    <xf numFmtId="0" fontId="12" fillId="0" borderId="4" xfId="0" applyFont="1" applyBorder="1" applyAlignment="1">
      <alignment vertical="top" wrapText="1"/>
    </xf>
    <xf numFmtId="0" fontId="11" fillId="0" borderId="4" xfId="0" applyFont="1" applyBorder="1" applyAlignment="1">
      <alignment horizontal="center" vertical="top"/>
    </xf>
    <xf numFmtId="3" fontId="1" fillId="0" borderId="4" xfId="0" applyNumberFormat="1" applyFont="1" applyBorder="1" applyAlignment="1">
      <alignment horizontal="center" vertical="top" wrapText="1"/>
    </xf>
    <xf numFmtId="0" fontId="20" fillId="0" borderId="4" xfId="0" applyFont="1" applyBorder="1" applyAlignment="1">
      <alignment vertical="top" wrapText="1"/>
    </xf>
    <xf numFmtId="49" fontId="13" fillId="0" borderId="4" xfId="0" applyNumberFormat="1" applyFont="1" applyBorder="1" applyAlignment="1">
      <alignment horizontal="left" vertical="top"/>
    </xf>
    <xf numFmtId="0" fontId="20" fillId="0" borderId="4" xfId="0" applyFont="1" applyBorder="1" applyAlignment="1">
      <alignment vertical="top"/>
    </xf>
    <xf numFmtId="170" fontId="1" fillId="0" borderId="4" xfId="0" applyNumberFormat="1" applyFont="1" applyBorder="1" applyAlignment="1">
      <alignment vertical="top"/>
    </xf>
    <xf numFmtId="0" fontId="11" fillId="0" borderId="4" xfId="0" applyFont="1" applyBorder="1" applyAlignment="1">
      <alignment vertical="top"/>
    </xf>
    <xf numFmtId="4" fontId="1" fillId="0" borderId="4" xfId="1" applyNumberFormat="1" applyFont="1" applyFill="1" applyBorder="1" applyAlignment="1">
      <alignment horizontal="center" vertical="top"/>
    </xf>
    <xf numFmtId="166" fontId="1" fillId="0" borderId="4" xfId="0" applyNumberFormat="1" applyFont="1" applyBorder="1" applyAlignment="1">
      <alignment vertical="top" wrapText="1"/>
    </xf>
    <xf numFmtId="4" fontId="1" fillId="0" borderId="4" xfId="0" applyNumberFormat="1" applyFont="1" applyBorder="1" applyAlignment="1">
      <alignment horizontal="center" vertical="top" wrapText="1"/>
    </xf>
    <xf numFmtId="0" fontId="12" fillId="0" borderId="4" xfId="0" applyFont="1" applyBorder="1" applyAlignment="1">
      <alignment horizontal="center" vertical="top" wrapText="1"/>
    </xf>
    <xf numFmtId="0" fontId="12" fillId="0" borderId="4" xfId="0" applyFont="1" applyBorder="1" applyAlignment="1">
      <alignment horizontal="left" vertical="top" wrapText="1"/>
    </xf>
    <xf numFmtId="170" fontId="1" fillId="3" borderId="4" xfId="0" applyNumberFormat="1" applyFont="1" applyFill="1" applyBorder="1" applyAlignment="1">
      <alignment horizontal="center" vertical="top"/>
    </xf>
    <xf numFmtId="3" fontId="9" fillId="3" borderId="4" xfId="0" applyNumberFormat="1" applyFont="1" applyFill="1" applyBorder="1" applyAlignment="1">
      <alignment horizontal="center" vertical="top" wrapText="1"/>
    </xf>
    <xf numFmtId="0" fontId="1" fillId="3" borderId="4" xfId="0" applyFont="1" applyFill="1" applyBorder="1" applyAlignment="1">
      <alignment vertical="top" wrapText="1"/>
    </xf>
    <xf numFmtId="3" fontId="1" fillId="3" borderId="4" xfId="0" applyNumberFormat="1" applyFont="1" applyFill="1" applyBorder="1" applyAlignment="1">
      <alignment horizontal="center" vertical="top" wrapText="1"/>
    </xf>
    <xf numFmtId="0" fontId="19" fillId="0" borderId="3" xfId="0" applyFont="1" applyBorder="1" applyAlignment="1">
      <alignment horizontal="center" vertical="top" wrapText="1"/>
    </xf>
    <xf numFmtId="0" fontId="8" fillId="0" borderId="4" xfId="0" applyFont="1" applyBorder="1" applyAlignment="1">
      <alignment horizontal="center" vertical="top"/>
    </xf>
    <xf numFmtId="0" fontId="15" fillId="0" borderId="3" xfId="0" applyFont="1" applyBorder="1" applyAlignment="1">
      <alignment horizontal="center" vertical="top" wrapText="1"/>
    </xf>
    <xf numFmtId="49" fontId="13" fillId="0" borderId="3" xfId="0" applyNumberFormat="1" applyFont="1" applyBorder="1" applyAlignment="1">
      <alignment horizontal="center" vertical="top"/>
    </xf>
    <xf numFmtId="0" fontId="9" fillId="0" borderId="3" xfId="0" applyFont="1" applyBorder="1" applyAlignment="1">
      <alignment horizontal="center" vertical="top"/>
    </xf>
    <xf numFmtId="3" fontId="9" fillId="0" borderId="4" xfId="0" applyNumberFormat="1" applyFont="1" applyBorder="1" applyAlignment="1">
      <alignment horizontal="center" vertical="top"/>
    </xf>
    <xf numFmtId="170" fontId="8" fillId="0" borderId="4" xfId="0" applyNumberFormat="1" applyFont="1" applyBorder="1" applyAlignment="1">
      <alignment horizontal="center" vertical="top" wrapText="1"/>
    </xf>
    <xf numFmtId="0" fontId="8" fillId="0" borderId="3" xfId="0" applyFont="1" applyBorder="1" applyAlignment="1">
      <alignment vertical="top"/>
    </xf>
    <xf numFmtId="0" fontId="8" fillId="0" borderId="4" xfId="0" applyFont="1" applyBorder="1" applyAlignment="1">
      <alignment vertical="top"/>
    </xf>
    <xf numFmtId="164" fontId="8" fillId="0" borderId="8" xfId="1" applyFont="1" applyBorder="1" applyAlignment="1">
      <alignment horizontal="center" vertical="center" wrapText="1"/>
    </xf>
    <xf numFmtId="164" fontId="8" fillId="0" borderId="8" xfId="1" applyFont="1" applyFill="1" applyBorder="1" applyAlignment="1">
      <alignment horizontal="center" vertical="center"/>
    </xf>
    <xf numFmtId="0" fontId="14" fillId="0" borderId="0" xfId="0" applyFont="1" applyAlignment="1">
      <alignment horizontal="center" vertical="center"/>
    </xf>
    <xf numFmtId="0" fontId="9" fillId="0" borderId="0" xfId="0" applyFont="1" applyAlignment="1">
      <alignment horizontal="right" vertical="center" wrapText="1"/>
    </xf>
    <xf numFmtId="164" fontId="8" fillId="0" borderId="0" xfId="1" applyFont="1" applyBorder="1" applyAlignment="1">
      <alignment horizontal="center" vertical="center" wrapText="1"/>
    </xf>
    <xf numFmtId="0" fontId="13" fillId="0" borderId="0" xfId="0" applyFont="1" applyAlignment="1">
      <alignment horizontal="center" vertical="center"/>
    </xf>
    <xf numFmtId="0" fontId="9" fillId="0" borderId="0" xfId="0" applyFont="1" applyAlignment="1">
      <alignment horizontal="left" vertical="center" wrapText="1"/>
    </xf>
    <xf numFmtId="170" fontId="13" fillId="0" borderId="0" xfId="0" applyNumberFormat="1" applyFont="1" applyAlignment="1">
      <alignment horizontal="center" vertical="center" wrapText="1"/>
    </xf>
    <xf numFmtId="3" fontId="13" fillId="0" borderId="0" xfId="0" applyNumberFormat="1" applyFont="1" applyAlignment="1">
      <alignment horizontal="center" vertical="center" wrapText="1"/>
    </xf>
    <xf numFmtId="170" fontId="13" fillId="0" borderId="0" xfId="0" applyNumberFormat="1" applyFont="1" applyAlignment="1">
      <alignment horizontal="center" vertical="center"/>
    </xf>
    <xf numFmtId="3" fontId="8" fillId="0" borderId="0" xfId="1" applyNumberFormat="1" applyFont="1" applyFill="1" applyBorder="1" applyAlignment="1">
      <alignment horizontal="center" vertical="center"/>
    </xf>
    <xf numFmtId="164" fontId="8" fillId="0" borderId="0" xfId="1" applyFont="1" applyFill="1" applyBorder="1" applyAlignment="1">
      <alignment horizontal="center" vertical="center"/>
    </xf>
    <xf numFmtId="0" fontId="11" fillId="0" borderId="0" xfId="0" applyFont="1" applyAlignment="1">
      <alignment horizontal="left" vertical="center" wrapText="1"/>
    </xf>
    <xf numFmtId="0" fontId="20" fillId="0" borderId="0" xfId="0" applyFont="1" applyAlignment="1">
      <alignment horizontal="left" vertical="center" wrapText="1"/>
    </xf>
    <xf numFmtId="0" fontId="12" fillId="0" borderId="3" xfId="0" applyFont="1" applyBorder="1" applyAlignment="1">
      <alignment horizontal="center" vertical="top"/>
    </xf>
    <xf numFmtId="0" fontId="14" fillId="0" borderId="3" xfId="0" applyFont="1" applyBorder="1" applyAlignment="1">
      <alignment horizontal="center" vertical="top"/>
    </xf>
    <xf numFmtId="49" fontId="14" fillId="0" borderId="3" xfId="0" applyNumberFormat="1" applyFont="1" applyBorder="1" applyAlignment="1">
      <alignment horizontal="center" vertical="top"/>
    </xf>
    <xf numFmtId="0" fontId="8" fillId="0" borderId="0" xfId="0" applyFont="1" applyAlignment="1">
      <alignment horizontal="center" vertical="top"/>
    </xf>
    <xf numFmtId="0" fontId="8" fillId="0" borderId="6" xfId="0" applyFont="1" applyBorder="1" applyAlignment="1">
      <alignment horizontal="center" vertical="top" wrapText="1"/>
    </xf>
    <xf numFmtId="3" fontId="8" fillId="0" borderId="4" xfId="0" applyNumberFormat="1" applyFont="1" applyBorder="1" applyAlignment="1">
      <alignment horizontal="center" vertical="top" wrapText="1"/>
    </xf>
    <xf numFmtId="164" fontId="8" fillId="0" borderId="4" xfId="1" applyFont="1" applyFill="1" applyBorder="1" applyAlignment="1">
      <alignment horizontal="center" vertical="top" wrapText="1"/>
    </xf>
    <xf numFmtId="164" fontId="8" fillId="0" borderId="4" xfId="1" applyFont="1" applyBorder="1" applyAlignment="1">
      <alignment horizontal="center" vertical="top" wrapText="1"/>
    </xf>
    <xf numFmtId="3" fontId="13" fillId="0" borderId="4" xfId="0" applyNumberFormat="1" applyFont="1" applyBorder="1" applyAlignment="1">
      <alignment horizontal="center" vertical="top" wrapText="1"/>
    </xf>
    <xf numFmtId="170" fontId="8" fillId="0" borderId="0" xfId="0" applyNumberFormat="1" applyFont="1" applyAlignment="1">
      <alignment horizontal="center" vertical="top"/>
    </xf>
    <xf numFmtId="3" fontId="8" fillId="0" borderId="0" xfId="0" applyNumberFormat="1" applyFont="1" applyAlignment="1">
      <alignment horizontal="center" vertical="top"/>
    </xf>
    <xf numFmtId="164" fontId="8" fillId="0" borderId="0" xfId="1" applyFont="1" applyFill="1" applyAlignment="1">
      <alignment horizontal="center" vertical="top"/>
    </xf>
    <xf numFmtId="164" fontId="8" fillId="0" borderId="4" xfId="0" applyNumberFormat="1" applyFont="1" applyBorder="1" applyAlignment="1">
      <alignment horizontal="center" vertical="top" wrapText="1"/>
    </xf>
    <xf numFmtId="166" fontId="8" fillId="0" borderId="4" xfId="0" applyNumberFormat="1" applyFont="1" applyBorder="1" applyAlignment="1">
      <alignment horizontal="center" vertical="top" wrapText="1"/>
    </xf>
    <xf numFmtId="0" fontId="8" fillId="0" borderId="0" xfId="0" applyFont="1" applyAlignment="1">
      <alignment horizontal="left" vertical="top" wrapText="1"/>
    </xf>
    <xf numFmtId="0" fontId="8" fillId="0" borderId="0" xfId="0" applyFont="1" applyAlignment="1">
      <alignment vertical="top"/>
    </xf>
    <xf numFmtId="164" fontId="1" fillId="0" borderId="8" xfId="0" applyNumberFormat="1" applyFont="1" applyBorder="1" applyAlignment="1">
      <alignment horizontal="center" vertical="center"/>
    </xf>
    <xf numFmtId="0" fontId="12" fillId="0" borderId="3" xfId="0" applyFont="1" applyBorder="1" applyAlignment="1">
      <alignment horizontal="center" vertical="top" wrapText="1"/>
    </xf>
    <xf numFmtId="164" fontId="1" fillId="0" borderId="8" xfId="1" applyFont="1" applyBorder="1" applyAlignment="1">
      <alignment horizontal="center" vertical="center" wrapText="1"/>
    </xf>
    <xf numFmtId="164" fontId="1" fillId="0" borderId="8" xfId="1" applyFont="1" applyFill="1" applyBorder="1" applyAlignment="1">
      <alignment horizontal="center" vertical="center"/>
    </xf>
    <xf numFmtId="0" fontId="1" fillId="0" borderId="4" xfId="0" applyFont="1" applyBorder="1" applyAlignment="1">
      <alignment horizontal="right" vertical="top" wrapText="1"/>
    </xf>
    <xf numFmtId="3" fontId="1" fillId="0" borderId="4" xfId="1" applyNumberFormat="1" applyFont="1" applyFill="1" applyBorder="1" applyAlignment="1">
      <alignment horizontal="center" vertical="top"/>
    </xf>
    <xf numFmtId="3" fontId="8" fillId="0" borderId="3" xfId="0" applyNumberFormat="1" applyFont="1" applyBorder="1" applyAlignment="1">
      <alignment horizontal="center" vertical="top"/>
    </xf>
    <xf numFmtId="170" fontId="8" fillId="0" borderId="3" xfId="0" applyNumberFormat="1" applyFont="1" applyBorder="1" applyAlignment="1">
      <alignment horizontal="center" vertical="top" wrapText="1"/>
    </xf>
    <xf numFmtId="164" fontId="1" fillId="0" borderId="8" xfId="1" applyFont="1" applyFill="1" applyBorder="1" applyAlignment="1">
      <alignment horizontal="right" vertical="center"/>
    </xf>
    <xf numFmtId="164" fontId="1" fillId="0" borderId="8" xfId="0" applyNumberFormat="1" applyFont="1" applyBorder="1" applyAlignment="1">
      <alignment horizontal="right" vertical="center" wrapText="1"/>
    </xf>
    <xf numFmtId="0" fontId="8" fillId="3" borderId="3" xfId="0" applyFont="1" applyFill="1" applyBorder="1" applyAlignment="1">
      <alignment horizontal="center" vertical="top" wrapText="1"/>
    </xf>
    <xf numFmtId="0" fontId="11" fillId="3" borderId="4" xfId="0" applyFont="1" applyFill="1" applyBorder="1" applyAlignment="1">
      <alignment horizontal="center" vertical="top"/>
    </xf>
    <xf numFmtId="49" fontId="14" fillId="0" borderId="3" xfId="0" applyNumberFormat="1" applyFont="1" applyBorder="1" applyAlignment="1">
      <alignment horizontal="center" vertical="top" wrapText="1"/>
    </xf>
    <xf numFmtId="0" fontId="9" fillId="0" borderId="0" xfId="0" applyFont="1" applyAlignment="1">
      <alignment horizontal="center" vertical="top"/>
    </xf>
    <xf numFmtId="0" fontId="1" fillId="0" borderId="0" xfId="0" applyFont="1" applyAlignment="1">
      <alignment horizontal="center" vertical="top" wrapText="1"/>
    </xf>
    <xf numFmtId="0" fontId="1" fillId="0" borderId="3" xfId="0" applyFont="1" applyBorder="1" applyAlignment="1">
      <alignment horizontal="left" vertical="top" wrapText="1"/>
    </xf>
    <xf numFmtId="0" fontId="9" fillId="0" borderId="3" xfId="0" applyFont="1" applyBorder="1" applyAlignment="1">
      <alignment horizontal="left" vertical="top" wrapText="1"/>
    </xf>
    <xf numFmtId="164" fontId="1" fillId="0" borderId="8" xfId="1" applyFont="1" applyBorder="1" applyAlignment="1">
      <alignment vertical="center"/>
    </xf>
    <xf numFmtId="49" fontId="14" fillId="0" borderId="4" xfId="3" applyNumberFormat="1" applyFont="1" applyBorder="1" applyAlignment="1">
      <alignment horizontal="center" vertical="top" wrapText="1"/>
    </xf>
    <xf numFmtId="49" fontId="14" fillId="0" borderId="4" xfId="3" applyNumberFormat="1" applyFont="1" applyBorder="1" applyAlignment="1">
      <alignment horizontal="left" vertical="top" wrapText="1"/>
    </xf>
    <xf numFmtId="49" fontId="13" fillId="0" borderId="4" xfId="3" applyNumberFormat="1" applyFont="1" applyBorder="1" applyAlignment="1">
      <alignment horizontal="center" vertical="top" wrapText="1"/>
    </xf>
    <xf numFmtId="170" fontId="13" fillId="0" borderId="4" xfId="3" applyNumberFormat="1" applyFont="1" applyBorder="1" applyAlignment="1">
      <alignment horizontal="center" vertical="top"/>
    </xf>
    <xf numFmtId="169" fontId="13" fillId="0" borderId="4" xfId="3" applyNumberFormat="1" applyFont="1" applyBorder="1" applyAlignment="1">
      <alignment horizontal="right" vertical="top" wrapText="1"/>
    </xf>
    <xf numFmtId="0" fontId="13" fillId="0" borderId="4" xfId="3" applyFont="1" applyBorder="1" applyAlignment="1">
      <alignment horizontal="center" vertical="top" wrapText="1"/>
    </xf>
    <xf numFmtId="0" fontId="13" fillId="0" borderId="4" xfId="3" applyFont="1" applyBorder="1" applyAlignment="1">
      <alignment vertical="top" wrapText="1"/>
    </xf>
    <xf numFmtId="49" fontId="13" fillId="0" borderId="4" xfId="3" applyNumberFormat="1" applyFont="1" applyBorder="1" applyAlignment="1">
      <alignment horizontal="left" vertical="top" wrapText="1"/>
    </xf>
    <xf numFmtId="49" fontId="14" fillId="0" borderId="3" xfId="3" applyNumberFormat="1" applyFont="1" applyBorder="1" applyAlignment="1">
      <alignment horizontal="center" vertical="top" wrapText="1"/>
    </xf>
    <xf numFmtId="0" fontId="13" fillId="0" borderId="3" xfId="3" applyFont="1" applyBorder="1" applyAlignment="1">
      <alignment horizontal="center" vertical="top" wrapText="1"/>
    </xf>
    <xf numFmtId="49" fontId="13" fillId="0" borderId="3" xfId="3" applyNumberFormat="1" applyFont="1" applyBorder="1" applyAlignment="1">
      <alignment horizontal="center" vertical="top" wrapText="1"/>
    </xf>
    <xf numFmtId="0" fontId="13" fillId="0" borderId="4" xfId="3" applyFont="1" applyBorder="1" applyAlignment="1">
      <alignment horizontal="left" vertical="top" wrapText="1"/>
    </xf>
    <xf numFmtId="0" fontId="8" fillId="0" borderId="0" xfId="0" applyFont="1" applyAlignment="1">
      <alignment horizontal="left" vertical="top"/>
    </xf>
    <xf numFmtId="170" fontId="9" fillId="0" borderId="4" xfId="0" applyNumberFormat="1" applyFont="1" applyBorder="1" applyAlignment="1">
      <alignment horizontal="center" vertical="top"/>
    </xf>
    <xf numFmtId="0" fontId="13" fillId="0" borderId="4" xfId="3" applyFont="1" applyBorder="1" applyAlignment="1">
      <alignment horizontal="right" vertical="top" wrapText="1"/>
    </xf>
    <xf numFmtId="169" fontId="13" fillId="0" borderId="4" xfId="3" applyNumberFormat="1" applyFont="1" applyBorder="1" applyAlignment="1" applyProtection="1">
      <alignment horizontal="center" vertical="top" wrapText="1"/>
      <protection locked="0"/>
    </xf>
    <xf numFmtId="169" fontId="13" fillId="0" borderId="4" xfId="3" applyNumberFormat="1" applyFont="1" applyBorder="1" applyAlignment="1">
      <alignment horizontal="center" vertical="top" wrapText="1"/>
    </xf>
    <xf numFmtId="164" fontId="13" fillId="0" borderId="4" xfId="1" applyFont="1" applyFill="1" applyBorder="1" applyAlignment="1">
      <alignment horizontal="right" vertical="top" wrapText="1"/>
    </xf>
    <xf numFmtId="164" fontId="8" fillId="0" borderId="4" xfId="1" applyFont="1" applyFill="1" applyBorder="1" applyAlignment="1">
      <alignment horizontal="right" vertical="top"/>
    </xf>
    <xf numFmtId="164" fontId="1" fillId="0" borderId="4" xfId="0" applyNumberFormat="1" applyFont="1" applyBorder="1" applyAlignment="1">
      <alignment horizontal="right" vertical="top" wrapText="1"/>
    </xf>
    <xf numFmtId="0" fontId="8" fillId="0" borderId="0" xfId="0" applyFont="1" applyAlignment="1">
      <alignment horizontal="right" vertical="top"/>
    </xf>
    <xf numFmtId="0" fontId="11" fillId="0" borderId="3" xfId="0" applyFont="1" applyBorder="1" applyAlignment="1">
      <alignment horizontal="center" vertical="center" wrapText="1"/>
    </xf>
    <xf numFmtId="164" fontId="9" fillId="0" borderId="4" xfId="0" applyNumberFormat="1" applyFont="1" applyBorder="1" applyAlignment="1">
      <alignment horizontal="center" vertical="top" wrapText="1"/>
    </xf>
    <xf numFmtId="0" fontId="9" fillId="3" borderId="1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left" vertical="top" wrapText="1"/>
    </xf>
    <xf numFmtId="3" fontId="8" fillId="3" borderId="4" xfId="0" applyNumberFormat="1" applyFont="1" applyFill="1" applyBorder="1" applyAlignment="1">
      <alignment horizontal="center" vertical="center" wrapText="1"/>
    </xf>
    <xf numFmtId="164" fontId="8" fillId="3" borderId="4"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wrapText="1"/>
    </xf>
    <xf numFmtId="3" fontId="8" fillId="3" borderId="4" xfId="2" applyNumberFormat="1"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4" xfId="0" applyFont="1" applyFill="1" applyBorder="1" applyAlignment="1">
      <alignment horizontal="left" vertical="center" wrapText="1"/>
    </xf>
    <xf numFmtId="0" fontId="9" fillId="3" borderId="4" xfId="0" applyFont="1" applyFill="1" applyBorder="1" applyAlignment="1">
      <alignment horizontal="center" vertical="center" wrapText="1"/>
    </xf>
    <xf numFmtId="170" fontId="9" fillId="3" borderId="4" xfId="0"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4" xfId="0" applyFont="1" applyFill="1" applyBorder="1" applyAlignment="1">
      <alignment horizontal="center" vertical="center" wrapText="1"/>
    </xf>
    <xf numFmtId="170" fontId="13" fillId="3" borderId="4" xfId="0" applyNumberFormat="1" applyFont="1" applyFill="1" applyBorder="1" applyAlignment="1">
      <alignment horizontal="center" vertical="center"/>
    </xf>
    <xf numFmtId="4" fontId="1" fillId="3" borderId="4" xfId="1" applyNumberFormat="1" applyFont="1" applyFill="1" applyBorder="1" applyAlignment="1">
      <alignment horizontal="center" vertical="center"/>
    </xf>
    <xf numFmtId="164" fontId="1" fillId="3" borderId="4"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170" fontId="1" fillId="3" borderId="2" xfId="0" applyNumberFormat="1" applyFont="1" applyFill="1" applyBorder="1" applyAlignment="1">
      <alignment vertical="center"/>
    </xf>
    <xf numFmtId="3" fontId="1" fillId="3" borderId="2" xfId="0" applyNumberFormat="1" applyFont="1" applyFill="1" applyBorder="1" applyAlignment="1">
      <alignment horizontal="center" vertical="center"/>
    </xf>
    <xf numFmtId="0" fontId="1" fillId="3" borderId="4" xfId="0" applyFont="1" applyFill="1" applyBorder="1" applyAlignment="1">
      <alignment vertical="center" wrapText="1"/>
    </xf>
    <xf numFmtId="0" fontId="11" fillId="3" borderId="4"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8" fillId="3" borderId="4" xfId="0" applyFont="1" applyFill="1" applyBorder="1" applyAlignment="1">
      <alignment horizontal="center" vertical="center"/>
    </xf>
    <xf numFmtId="170" fontId="1" fillId="3" borderId="4" xfId="0" applyNumberFormat="1" applyFont="1" applyFill="1" applyBorder="1" applyAlignment="1">
      <alignment horizontal="center" vertical="center"/>
    </xf>
    <xf numFmtId="0" fontId="19" fillId="3" borderId="3" xfId="0" applyFont="1" applyFill="1" applyBorder="1" applyAlignment="1">
      <alignment horizontal="center" vertical="top" wrapText="1"/>
    </xf>
    <xf numFmtId="0" fontId="12" fillId="3" borderId="4" xfId="0" applyFont="1" applyFill="1" applyBorder="1" applyAlignment="1">
      <alignment horizontal="center" vertical="top" wrapText="1"/>
    </xf>
    <xf numFmtId="0" fontId="8" fillId="3" borderId="4" xfId="0" applyFont="1" applyFill="1" applyBorder="1" applyAlignment="1">
      <alignment horizontal="center" vertical="top"/>
    </xf>
    <xf numFmtId="0" fontId="14" fillId="3" borderId="3" xfId="0" applyFont="1" applyFill="1" applyBorder="1" applyAlignment="1">
      <alignment horizontal="center" vertical="top" wrapText="1"/>
    </xf>
    <xf numFmtId="0" fontId="9" fillId="3" borderId="4" xfId="0" applyFont="1" applyFill="1" applyBorder="1" applyAlignment="1">
      <alignment vertical="top" wrapText="1"/>
    </xf>
    <xf numFmtId="0" fontId="13" fillId="3" borderId="3" xfId="0" applyFont="1" applyFill="1" applyBorder="1" applyAlignment="1">
      <alignment horizontal="center" vertical="top" wrapText="1"/>
    </xf>
    <xf numFmtId="0" fontId="9" fillId="3" borderId="4" xfId="0" applyFont="1" applyFill="1" applyBorder="1" applyAlignment="1">
      <alignment horizontal="left" vertical="top" wrapText="1"/>
    </xf>
    <xf numFmtId="0" fontId="9" fillId="3" borderId="9" xfId="0" applyFont="1" applyFill="1" applyBorder="1" applyAlignment="1">
      <alignment horizontal="center" vertical="top"/>
    </xf>
    <xf numFmtId="0" fontId="9" fillId="3" borderId="10" xfId="0" applyFont="1" applyFill="1" applyBorder="1" applyAlignment="1">
      <alignment horizontal="center" vertical="center"/>
    </xf>
    <xf numFmtId="0" fontId="9" fillId="3" borderId="10" xfId="0" applyFont="1" applyFill="1" applyBorder="1" applyAlignment="1">
      <alignment horizontal="center" vertical="top" wrapText="1"/>
    </xf>
    <xf numFmtId="170" fontId="9" fillId="3" borderId="10" xfId="0" applyNumberFormat="1" applyFont="1" applyFill="1" applyBorder="1" applyAlignment="1">
      <alignment horizontal="center" vertical="top" wrapText="1"/>
    </xf>
    <xf numFmtId="3" fontId="9" fillId="3" borderId="10" xfId="0" applyNumberFormat="1" applyFont="1" applyFill="1" applyBorder="1" applyAlignment="1">
      <alignment horizontal="center" vertical="top" wrapText="1"/>
    </xf>
    <xf numFmtId="164" fontId="9" fillId="3" borderId="10" xfId="1" applyFont="1" applyFill="1" applyBorder="1" applyAlignment="1">
      <alignment horizontal="center" vertical="top" wrapText="1"/>
    </xf>
    <xf numFmtId="0" fontId="9" fillId="3" borderId="3" xfId="0" applyFont="1" applyFill="1" applyBorder="1" applyAlignment="1">
      <alignment horizontal="center" vertical="top"/>
    </xf>
    <xf numFmtId="0" fontId="9" fillId="3" borderId="4" xfId="0" applyFont="1" applyFill="1" applyBorder="1" applyAlignment="1">
      <alignment horizontal="left" vertical="center" wrapText="1"/>
    </xf>
    <xf numFmtId="0" fontId="8" fillId="3" borderId="4" xfId="0" applyFont="1" applyFill="1" applyBorder="1" applyAlignment="1">
      <alignment horizontal="center" vertical="top" wrapText="1"/>
    </xf>
    <xf numFmtId="170" fontId="8" fillId="3" borderId="4" xfId="0" applyNumberFormat="1" applyFont="1" applyFill="1" applyBorder="1" applyAlignment="1">
      <alignment horizontal="center" vertical="top" wrapText="1"/>
    </xf>
    <xf numFmtId="3" fontId="8" fillId="3" borderId="4" xfId="0" applyNumberFormat="1" applyFont="1" applyFill="1" applyBorder="1" applyAlignment="1">
      <alignment horizontal="center" vertical="top" wrapText="1"/>
    </xf>
    <xf numFmtId="164" fontId="8" fillId="3" borderId="4" xfId="1" applyFont="1" applyFill="1" applyBorder="1" applyAlignment="1">
      <alignment horizontal="center" vertical="top" wrapText="1"/>
    </xf>
    <xf numFmtId="0" fontId="9" fillId="3" borderId="10" xfId="0" applyFont="1" applyFill="1" applyBorder="1" applyAlignment="1">
      <alignment horizontal="center" vertical="top"/>
    </xf>
    <xf numFmtId="0" fontId="12" fillId="3" borderId="3" xfId="0" applyFont="1" applyFill="1" applyBorder="1" applyAlignment="1">
      <alignment horizontal="center" vertical="top"/>
    </xf>
    <xf numFmtId="0" fontId="12" fillId="3" borderId="4" xfId="0" applyFont="1" applyFill="1" applyBorder="1" applyAlignment="1">
      <alignment horizontal="left" vertical="top" wrapText="1"/>
    </xf>
    <xf numFmtId="164" fontId="8" fillId="3" borderId="4" xfId="0" applyNumberFormat="1" applyFont="1" applyFill="1" applyBorder="1" applyAlignment="1">
      <alignment horizontal="center" vertical="top" wrapText="1"/>
    </xf>
    <xf numFmtId="0" fontId="9" fillId="3" borderId="9" xfId="0" applyFont="1" applyFill="1" applyBorder="1" applyAlignment="1">
      <alignment horizontal="center" vertical="top" wrapText="1"/>
    </xf>
    <xf numFmtId="3" fontId="9" fillId="3" borderId="10" xfId="0" applyNumberFormat="1" applyFont="1" applyFill="1" applyBorder="1" applyAlignment="1">
      <alignment horizontal="center" vertical="top"/>
    </xf>
    <xf numFmtId="0" fontId="9" fillId="3" borderId="3" xfId="0" applyFont="1" applyFill="1" applyBorder="1" applyAlignment="1">
      <alignment horizontal="center" vertical="top" wrapText="1"/>
    </xf>
    <xf numFmtId="170" fontId="9" fillId="3" borderId="4" xfId="0" applyNumberFormat="1" applyFont="1" applyFill="1" applyBorder="1" applyAlignment="1">
      <alignment horizontal="center" vertical="top" wrapText="1"/>
    </xf>
    <xf numFmtId="3" fontId="9" fillId="3" borderId="4" xfId="0" applyNumberFormat="1" applyFont="1" applyFill="1" applyBorder="1" applyAlignment="1">
      <alignment horizontal="center" vertical="top"/>
    </xf>
    <xf numFmtId="170" fontId="8" fillId="3" borderId="4" xfId="0" applyNumberFormat="1" applyFont="1" applyFill="1" applyBorder="1" applyAlignment="1">
      <alignment horizontal="center" vertical="top"/>
    </xf>
    <xf numFmtId="3" fontId="8" fillId="3" borderId="4" xfId="0" applyNumberFormat="1" applyFont="1" applyFill="1" applyBorder="1" applyAlignment="1">
      <alignment horizontal="center" vertical="top"/>
    </xf>
    <xf numFmtId="0" fontId="8" fillId="3" borderId="3" xfId="0" applyFont="1" applyFill="1" applyBorder="1" applyAlignment="1">
      <alignment vertical="top"/>
    </xf>
    <xf numFmtId="0" fontId="8" fillId="3" borderId="4" xfId="0" applyFont="1" applyFill="1" applyBorder="1" applyAlignment="1">
      <alignment vertical="top"/>
    </xf>
    <xf numFmtId="2" fontId="1" fillId="3" borderId="4" xfId="0" applyNumberFormat="1" applyFont="1" applyFill="1" applyBorder="1" applyAlignment="1">
      <alignment horizontal="center" vertical="top"/>
    </xf>
    <xf numFmtId="0" fontId="13" fillId="3" borderId="4" xfId="0" applyFont="1" applyFill="1" applyBorder="1" applyAlignment="1">
      <alignment horizontal="center" vertical="top" wrapText="1"/>
    </xf>
    <xf numFmtId="0" fontId="13" fillId="3" borderId="4" xfId="0" applyFont="1" applyFill="1" applyBorder="1" applyAlignment="1">
      <alignment horizontal="left" vertical="top" wrapText="1"/>
    </xf>
    <xf numFmtId="49" fontId="13" fillId="3" borderId="3" xfId="0" applyNumberFormat="1" applyFont="1" applyFill="1" applyBorder="1" applyAlignment="1">
      <alignment horizontal="center" vertical="top" wrapText="1"/>
    </xf>
    <xf numFmtId="49" fontId="13" fillId="3" borderId="4" xfId="0" applyNumberFormat="1" applyFont="1" applyFill="1" applyBorder="1" applyAlignment="1">
      <alignment horizontal="center" vertical="top" wrapText="1"/>
    </xf>
    <xf numFmtId="49" fontId="13" fillId="3" borderId="4" xfId="0" applyNumberFormat="1" applyFont="1" applyFill="1" applyBorder="1" applyAlignment="1">
      <alignment horizontal="left" vertical="top" wrapText="1"/>
    </xf>
    <xf numFmtId="164" fontId="1" fillId="3" borderId="4" xfId="1" applyFont="1" applyFill="1" applyBorder="1" applyAlignment="1">
      <alignment horizontal="center" vertical="top"/>
    </xf>
    <xf numFmtId="0" fontId="9" fillId="3" borderId="10" xfId="0" applyFont="1" applyFill="1" applyBorder="1" applyAlignment="1">
      <alignment horizontal="left" vertical="top" wrapText="1"/>
    </xf>
    <xf numFmtId="170" fontId="9" fillId="3" borderId="10" xfId="0" applyNumberFormat="1" applyFont="1" applyFill="1" applyBorder="1" applyAlignment="1">
      <alignment horizontal="center" vertical="top"/>
    </xf>
    <xf numFmtId="0" fontId="9" fillId="3" borderId="10" xfId="0" applyFont="1" applyFill="1" applyBorder="1" applyAlignment="1">
      <alignment horizontal="right" vertical="top" wrapText="1"/>
    </xf>
    <xf numFmtId="0" fontId="13" fillId="3" borderId="3" xfId="3" applyFont="1" applyFill="1" applyBorder="1" applyAlignment="1">
      <alignment horizontal="center" vertical="top" wrapText="1"/>
    </xf>
    <xf numFmtId="0" fontId="13" fillId="3" borderId="4" xfId="3" applyFont="1" applyFill="1" applyBorder="1" applyAlignment="1">
      <alignment horizontal="center" vertical="top" wrapText="1"/>
    </xf>
    <xf numFmtId="0" fontId="13" fillId="3" borderId="4" xfId="3" applyFont="1" applyFill="1" applyBorder="1" applyAlignment="1">
      <alignment horizontal="left" vertical="top" wrapText="1"/>
    </xf>
    <xf numFmtId="0" fontId="13" fillId="3" borderId="4" xfId="3" applyFont="1" applyFill="1" applyBorder="1" applyAlignment="1">
      <alignment vertical="top" wrapText="1"/>
    </xf>
    <xf numFmtId="170" fontId="13" fillId="3" borderId="4" xfId="3" applyNumberFormat="1" applyFont="1" applyFill="1" applyBorder="1" applyAlignment="1">
      <alignment horizontal="center" vertical="top"/>
    </xf>
    <xf numFmtId="0" fontId="13" fillId="3" borderId="4" xfId="3" applyFont="1" applyFill="1" applyBorder="1" applyAlignment="1">
      <alignment horizontal="right" vertical="top" wrapText="1"/>
    </xf>
    <xf numFmtId="0" fontId="13" fillId="3" borderId="5" xfId="0" applyFont="1" applyFill="1" applyBorder="1" applyAlignment="1">
      <alignment vertical="center"/>
    </xf>
    <xf numFmtId="0" fontId="13" fillId="3" borderId="6" xfId="0" applyFont="1" applyFill="1" applyBorder="1" applyAlignment="1">
      <alignment vertical="center"/>
    </xf>
    <xf numFmtId="0" fontId="13" fillId="3" borderId="7" xfId="0" applyFont="1" applyFill="1" applyBorder="1" applyAlignment="1">
      <alignment vertical="center"/>
    </xf>
    <xf numFmtId="0" fontId="12" fillId="3" borderId="3" xfId="0" applyFont="1" applyFill="1" applyBorder="1" applyAlignment="1">
      <alignment horizontal="center" vertical="top" wrapText="1"/>
    </xf>
    <xf numFmtId="164" fontId="1" fillId="0" borderId="4" xfId="1" applyFont="1" applyBorder="1" applyAlignment="1">
      <alignment horizontal="center" vertical="top" wrapText="1"/>
    </xf>
    <xf numFmtId="164" fontId="1" fillId="0" borderId="4" xfId="0" applyNumberFormat="1" applyFont="1" applyBorder="1" applyAlignment="1">
      <alignment horizontal="center" vertical="top"/>
    </xf>
    <xf numFmtId="4" fontId="1" fillId="3" borderId="4" xfId="1" applyNumberFormat="1" applyFont="1" applyFill="1" applyBorder="1" applyAlignment="1">
      <alignment horizontal="center" vertical="top"/>
    </xf>
    <xf numFmtId="0" fontId="1" fillId="3" borderId="3" xfId="0" applyFont="1" applyFill="1" applyBorder="1" applyAlignment="1">
      <alignment horizontal="center" vertical="top"/>
    </xf>
    <xf numFmtId="170" fontId="1" fillId="3" borderId="4" xfId="0" applyNumberFormat="1" applyFont="1" applyFill="1" applyBorder="1" applyAlignment="1">
      <alignment vertical="top"/>
    </xf>
    <xf numFmtId="3" fontId="1" fillId="3" borderId="4" xfId="0" applyNumberFormat="1" applyFont="1" applyFill="1" applyBorder="1" applyAlignment="1">
      <alignment horizontal="center" vertical="top"/>
    </xf>
    <xf numFmtId="0" fontId="12" fillId="0" borderId="4" xfId="0" applyFont="1" applyBorder="1" applyAlignment="1">
      <alignment horizontal="left"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right" vertical="center" wrapText="1"/>
    </xf>
    <xf numFmtId="0" fontId="8" fillId="3" borderId="10" xfId="0" applyFont="1" applyFill="1" applyBorder="1" applyAlignment="1">
      <alignment horizontal="center" vertical="center"/>
    </xf>
    <xf numFmtId="170" fontId="8" fillId="3" borderId="10" xfId="0" applyNumberFormat="1" applyFont="1" applyFill="1" applyBorder="1" applyAlignment="1">
      <alignment horizontal="center" vertical="center"/>
    </xf>
    <xf numFmtId="3" fontId="8" fillId="3" borderId="10" xfId="0" applyNumberFormat="1" applyFont="1" applyFill="1" applyBorder="1" applyAlignment="1">
      <alignment horizontal="center" vertical="center"/>
    </xf>
    <xf numFmtId="166" fontId="8" fillId="3" borderId="10" xfId="0" applyNumberFormat="1" applyFont="1" applyFill="1" applyBorder="1" applyAlignment="1">
      <alignment vertical="center"/>
    </xf>
    <xf numFmtId="0" fontId="9" fillId="0" borderId="2" xfId="0" applyFont="1" applyBorder="1" applyAlignment="1">
      <alignment horizontal="left" vertical="center" wrapText="1"/>
    </xf>
    <xf numFmtId="0" fontId="13" fillId="0" borderId="4" xfId="0" applyFont="1" applyBorder="1" applyAlignment="1">
      <alignment vertical="top"/>
    </xf>
    <xf numFmtId="170" fontId="13" fillId="3" borderId="4" xfId="0" applyNumberFormat="1" applyFont="1" applyFill="1" applyBorder="1" applyAlignment="1">
      <alignment horizontal="center" vertical="top" wrapText="1"/>
    </xf>
    <xf numFmtId="0" fontId="1" fillId="3" borderId="3" xfId="0" applyFont="1" applyFill="1" applyBorder="1" applyAlignment="1">
      <alignment horizontal="center" vertical="top" wrapText="1"/>
    </xf>
    <xf numFmtId="164" fontId="1" fillId="3" borderId="4" xfId="0" applyNumberFormat="1" applyFont="1" applyFill="1" applyBorder="1" applyAlignment="1">
      <alignment horizontal="center" vertical="top"/>
    </xf>
    <xf numFmtId="0" fontId="14" fillId="0" borderId="4" xfId="0" applyFont="1" applyBorder="1" applyAlignment="1">
      <alignment horizontal="left" vertical="top" wrapText="1"/>
    </xf>
    <xf numFmtId="2" fontId="13" fillId="3" borderId="4" xfId="0" applyNumberFormat="1" applyFont="1" applyFill="1" applyBorder="1" applyAlignment="1">
      <alignment horizontal="center" vertical="top" wrapText="1"/>
    </xf>
    <xf numFmtId="0" fontId="14" fillId="0" borderId="4" xfId="3" applyFont="1" applyBorder="1" applyAlignment="1">
      <alignment horizontal="left" vertical="top" wrapText="1"/>
    </xf>
    <xf numFmtId="0" fontId="14" fillId="0" borderId="4" xfId="3" applyFont="1" applyBorder="1" applyAlignment="1">
      <alignment horizontal="center" vertical="top"/>
    </xf>
    <xf numFmtId="49" fontId="15" fillId="0" borderId="4" xfId="3" applyNumberFormat="1" applyFont="1" applyBorder="1" applyAlignment="1">
      <alignment horizontal="left" vertical="top" wrapText="1"/>
    </xf>
    <xf numFmtId="49" fontId="15" fillId="0" borderId="3" xfId="3" applyNumberFormat="1" applyFont="1" applyBorder="1" applyAlignment="1">
      <alignment horizontal="center" vertical="top" wrapText="1"/>
    </xf>
    <xf numFmtId="49" fontId="15" fillId="0" borderId="4" xfId="3" applyNumberFormat="1" applyFont="1" applyBorder="1" applyAlignment="1">
      <alignment horizontal="center" vertical="top" wrapText="1"/>
    </xf>
    <xf numFmtId="164" fontId="13" fillId="0" borderId="4" xfId="1" applyFont="1" applyBorder="1" applyAlignment="1">
      <alignment horizontal="right" vertical="top" wrapText="1"/>
    </xf>
    <xf numFmtId="49" fontId="13" fillId="3" borderId="3" xfId="3" applyNumberFormat="1" applyFont="1" applyFill="1" applyBorder="1" applyAlignment="1">
      <alignment horizontal="center" vertical="top" wrapText="1"/>
    </xf>
    <xf numFmtId="49" fontId="13" fillId="3" borderId="4" xfId="3" applyNumberFormat="1" applyFont="1" applyFill="1" applyBorder="1" applyAlignment="1">
      <alignment horizontal="center" vertical="top" wrapText="1"/>
    </xf>
    <xf numFmtId="49" fontId="13" fillId="3" borderId="4" xfId="3" applyNumberFormat="1" applyFont="1" applyFill="1" applyBorder="1" applyAlignment="1">
      <alignment horizontal="left" vertical="top" wrapText="1"/>
    </xf>
    <xf numFmtId="169" fontId="13" fillId="3" borderId="4" xfId="3" applyNumberFormat="1" applyFont="1" applyFill="1" applyBorder="1" applyAlignment="1" applyProtection="1">
      <alignment horizontal="center" vertical="top" wrapText="1"/>
      <protection locked="0"/>
    </xf>
    <xf numFmtId="169" fontId="13" fillId="3" borderId="4" xfId="3" applyNumberFormat="1" applyFont="1" applyFill="1" applyBorder="1" applyAlignment="1">
      <alignment horizontal="right" vertical="top" wrapText="1"/>
    </xf>
    <xf numFmtId="0" fontId="14" fillId="0" borderId="4" xfId="3" applyFont="1" applyBorder="1" applyAlignment="1">
      <alignment horizontal="center" vertical="top" wrapText="1"/>
    </xf>
    <xf numFmtId="49" fontId="13" fillId="0" borderId="4" xfId="0" applyNumberFormat="1" applyFont="1" applyBorder="1" applyAlignment="1">
      <alignment horizontal="center" vertical="top"/>
    </xf>
    <xf numFmtId="2" fontId="13" fillId="0" borderId="4" xfId="0" applyNumberFormat="1" applyFont="1" applyBorder="1" applyAlignment="1" applyProtection="1">
      <alignment horizontal="center" vertical="top"/>
      <protection locked="0"/>
    </xf>
    <xf numFmtId="0" fontId="13" fillId="3" borderId="3" xfId="0" applyFont="1" applyFill="1" applyBorder="1" applyAlignment="1">
      <alignment horizontal="center" vertical="top"/>
    </xf>
    <xf numFmtId="0" fontId="13" fillId="3" borderId="4" xfId="0" applyFont="1" applyFill="1" applyBorder="1" applyAlignment="1">
      <alignment horizontal="center" vertical="top"/>
    </xf>
    <xf numFmtId="0" fontId="13" fillId="3" borderId="4" xfId="0" applyFont="1" applyFill="1" applyBorder="1" applyAlignment="1">
      <alignment horizontal="left" vertical="top"/>
    </xf>
    <xf numFmtId="2" fontId="1" fillId="3" borderId="4" xfId="0" applyNumberFormat="1" applyFont="1" applyFill="1" applyBorder="1" applyAlignment="1">
      <alignment horizontal="center" vertical="top" wrapText="1"/>
    </xf>
    <xf numFmtId="0" fontId="9" fillId="3" borderId="0" xfId="0" applyFont="1" applyFill="1" applyAlignment="1">
      <alignment horizontal="center" vertical="top" wrapText="1"/>
    </xf>
    <xf numFmtId="49" fontId="13" fillId="0" borderId="0" xfId="0" applyNumberFormat="1" applyFont="1" applyAlignment="1">
      <alignment horizontal="left" vertical="top" wrapText="1"/>
    </xf>
    <xf numFmtId="0" fontId="9" fillId="3" borderId="0" xfId="0" applyFont="1" applyFill="1" applyAlignment="1">
      <alignment horizontal="left" vertical="top" wrapText="1"/>
    </xf>
    <xf numFmtId="164" fontId="9" fillId="0" borderId="8" xfId="1" applyFont="1" applyBorder="1" applyAlignment="1">
      <alignment horizontal="center" vertical="center" wrapText="1"/>
    </xf>
    <xf numFmtId="164" fontId="9" fillId="3" borderId="4" xfId="1" applyFont="1" applyFill="1" applyBorder="1" applyAlignment="1">
      <alignment horizontal="center" vertical="top" wrapText="1"/>
    </xf>
    <xf numFmtId="164" fontId="9" fillId="0" borderId="4" xfId="1" applyFont="1" applyBorder="1" applyAlignment="1">
      <alignment horizontal="center" vertical="top" wrapText="1"/>
    </xf>
    <xf numFmtId="164" fontId="1" fillId="0" borderId="4" xfId="1" applyFont="1" applyBorder="1" applyAlignment="1">
      <alignment vertical="top"/>
    </xf>
    <xf numFmtId="164" fontId="1" fillId="3" borderId="4" xfId="1" applyFont="1" applyFill="1" applyBorder="1" applyAlignment="1">
      <alignment vertical="top"/>
    </xf>
    <xf numFmtId="164" fontId="13" fillId="0" borderId="4" xfId="1" applyFont="1" applyBorder="1" applyAlignment="1">
      <alignment vertical="top" wrapText="1"/>
    </xf>
    <xf numFmtId="164" fontId="13" fillId="0" borderId="4" xfId="1" applyFont="1" applyBorder="1" applyAlignment="1">
      <alignment horizontal="center" vertical="top" wrapText="1"/>
    </xf>
    <xf numFmtId="164" fontId="1" fillId="0" borderId="4" xfId="1" applyFont="1" applyFill="1" applyBorder="1" applyAlignment="1">
      <alignment vertical="top"/>
    </xf>
    <xf numFmtId="164" fontId="1" fillId="3" borderId="4" xfId="1" applyFont="1" applyFill="1" applyBorder="1" applyAlignment="1">
      <alignment horizontal="center" vertical="top" wrapText="1"/>
    </xf>
    <xf numFmtId="164" fontId="13" fillId="3" borderId="4" xfId="1" applyFont="1" applyFill="1" applyBorder="1" applyAlignment="1">
      <alignment horizontal="right" vertical="top" wrapText="1"/>
    </xf>
    <xf numFmtId="164" fontId="23" fillId="0" borderId="0" xfId="1" applyFont="1" applyAlignment="1">
      <alignment vertical="top"/>
    </xf>
    <xf numFmtId="164" fontId="1" fillId="0" borderId="0" xfId="1" applyFont="1" applyAlignment="1">
      <alignment vertical="top"/>
    </xf>
    <xf numFmtId="164" fontId="1" fillId="0" borderId="0" xfId="1" applyFont="1" applyAlignment="1">
      <alignment horizontal="center" vertical="top"/>
    </xf>
    <xf numFmtId="164" fontId="1" fillId="3" borderId="0" xfId="1" applyFont="1" applyFill="1" applyBorder="1" applyAlignment="1">
      <alignment vertical="top"/>
    </xf>
    <xf numFmtId="0" fontId="31" fillId="0" borderId="0" xfId="0" applyFont="1" applyAlignment="1">
      <alignment vertical="top"/>
    </xf>
    <xf numFmtId="0" fontId="15" fillId="0" borderId="4" xfId="0" applyFont="1" applyBorder="1" applyAlignment="1">
      <alignment horizontal="center" vertical="top" wrapText="1"/>
    </xf>
    <xf numFmtId="0" fontId="15" fillId="0" borderId="4" xfId="0" applyFont="1" applyBorder="1" applyAlignment="1">
      <alignment horizontal="left" vertical="top" wrapText="1"/>
    </xf>
    <xf numFmtId="0" fontId="29" fillId="0" borderId="0" xfId="0" applyFont="1" applyAlignment="1">
      <alignment vertical="top"/>
    </xf>
    <xf numFmtId="49" fontId="29" fillId="0" borderId="0" xfId="0" applyNumberFormat="1" applyFont="1" applyAlignment="1">
      <alignment horizontal="center" vertical="top" wrapText="1"/>
    </xf>
    <xf numFmtId="0" fontId="30" fillId="3" borderId="0" xfId="0" applyFont="1" applyFill="1" applyAlignment="1">
      <alignment horizontal="center" vertical="top" wrapText="1"/>
    </xf>
    <xf numFmtId="164" fontId="13" fillId="0" borderId="4" xfId="1" applyFont="1" applyBorder="1" applyAlignment="1">
      <alignment horizontal="right" vertical="top"/>
    </xf>
    <xf numFmtId="49" fontId="13" fillId="3" borderId="4" xfId="0" applyNumberFormat="1" applyFont="1" applyFill="1" applyBorder="1" applyAlignment="1">
      <alignment horizontal="center" vertical="top"/>
    </xf>
    <xf numFmtId="49" fontId="13" fillId="3" borderId="4" xfId="0" applyNumberFormat="1" applyFont="1" applyFill="1" applyBorder="1" applyAlignment="1">
      <alignment horizontal="left" vertical="top"/>
    </xf>
    <xf numFmtId="164" fontId="13" fillId="3" borderId="4" xfId="1" applyFont="1" applyFill="1" applyBorder="1" applyAlignment="1">
      <alignment horizontal="right" vertical="top"/>
    </xf>
    <xf numFmtId="49" fontId="14" fillId="3" borderId="3" xfId="0" applyNumberFormat="1" applyFont="1" applyFill="1" applyBorder="1" applyAlignment="1">
      <alignment horizontal="center" vertical="top" wrapText="1"/>
    </xf>
    <xf numFmtId="49" fontId="14" fillId="3" borderId="4" xfId="0" applyNumberFormat="1" applyFont="1" applyFill="1" applyBorder="1" applyAlignment="1">
      <alignment horizontal="center" vertical="top" wrapText="1"/>
    </xf>
    <xf numFmtId="49" fontId="14" fillId="3" borderId="4" xfId="0" applyNumberFormat="1" applyFont="1" applyFill="1" applyBorder="1" applyAlignment="1">
      <alignment horizontal="left" vertical="top" wrapText="1"/>
    </xf>
    <xf numFmtId="49" fontId="14" fillId="0" borderId="0" xfId="0" applyNumberFormat="1" applyFont="1" applyAlignment="1">
      <alignment horizontal="left" vertical="top" wrapText="1"/>
    </xf>
    <xf numFmtId="49" fontId="13" fillId="3" borderId="0" xfId="0" applyNumberFormat="1" applyFont="1" applyFill="1" applyAlignment="1">
      <alignment horizontal="left" vertical="top" wrapText="1"/>
    </xf>
    <xf numFmtId="0" fontId="1" fillId="3" borderId="0" xfId="0" applyFont="1" applyFill="1" applyAlignment="1">
      <alignment horizontal="center" vertical="top" wrapText="1"/>
    </xf>
    <xf numFmtId="170" fontId="1" fillId="3" borderId="4" xfId="0" applyNumberFormat="1" applyFont="1" applyFill="1" applyBorder="1" applyAlignment="1">
      <alignment horizontal="center" vertical="top" wrapText="1"/>
    </xf>
    <xf numFmtId="3" fontId="13" fillId="0" borderId="4" xfId="0" applyNumberFormat="1" applyFont="1" applyBorder="1" applyAlignment="1" applyProtection="1">
      <alignment horizontal="center" vertical="top"/>
      <protection locked="0"/>
    </xf>
    <xf numFmtId="0" fontId="9" fillId="0" borderId="4" xfId="0" applyFont="1" applyBorder="1" applyAlignment="1">
      <alignment vertical="top"/>
    </xf>
    <xf numFmtId="0" fontId="2" fillId="0" borderId="4" xfId="0" applyFont="1" applyBorder="1" applyAlignment="1">
      <alignment horizontal="center" vertical="center" wrapText="1"/>
    </xf>
    <xf numFmtId="0" fontId="9" fillId="0" borderId="8" xfId="0" applyFont="1" applyBorder="1" applyAlignment="1">
      <alignment horizontal="right" vertical="center" wrapText="1"/>
    </xf>
    <xf numFmtId="0" fontId="9" fillId="0" borderId="8" xfId="0" applyFont="1" applyBorder="1" applyAlignment="1">
      <alignment horizontal="right" vertical="center"/>
    </xf>
    <xf numFmtId="0" fontId="9" fillId="0" borderId="6" xfId="0" applyFont="1" applyBorder="1" applyAlignment="1">
      <alignment horizontal="right" vertical="center" wrapText="1"/>
    </xf>
    <xf numFmtId="0" fontId="9" fillId="0" borderId="7" xfId="0" applyFont="1" applyBorder="1" applyAlignment="1">
      <alignment horizontal="righ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left" vertical="center" wrapText="1"/>
    </xf>
    <xf numFmtId="0" fontId="1" fillId="0" borderId="8" xfId="0" applyFont="1" applyBorder="1" applyAlignment="1">
      <alignment horizontal="right" vertical="center" wrapText="1"/>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4" fillId="0" borderId="8" xfId="0" applyFont="1" applyBorder="1" applyAlignment="1">
      <alignment horizontal="right" vertical="center" wrapText="1"/>
    </xf>
    <xf numFmtId="0" fontId="9" fillId="0" borderId="5" xfId="0" applyFont="1" applyBorder="1" applyAlignment="1">
      <alignment horizontal="right" vertical="center" wrapText="1"/>
    </xf>
    <xf numFmtId="0" fontId="9" fillId="0" borderId="6" xfId="0" applyFont="1" applyBorder="1" applyAlignment="1">
      <alignment horizontal="right" vertical="top" wrapText="1"/>
    </xf>
    <xf numFmtId="0" fontId="9" fillId="0" borderId="7" xfId="0" applyFont="1" applyBorder="1" applyAlignment="1">
      <alignment horizontal="right" vertical="top"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 xfId="0" applyFont="1" applyBorder="1" applyAlignment="1">
      <alignment horizontal="center" vertical="center" wrapText="1"/>
    </xf>
    <xf numFmtId="0" fontId="14" fillId="0" borderId="1" xfId="0" applyFont="1" applyBorder="1" applyAlignment="1">
      <alignment horizontal="right" vertical="center"/>
    </xf>
    <xf numFmtId="0" fontId="14" fillId="0" borderId="12" xfId="0" applyFont="1" applyBorder="1" applyAlignment="1">
      <alignment horizontal="right" vertical="center"/>
    </xf>
    <xf numFmtId="0" fontId="14" fillId="0" borderId="15" xfId="0" applyFont="1" applyBorder="1" applyAlignment="1">
      <alignment horizontal="right" vertical="center"/>
    </xf>
    <xf numFmtId="0" fontId="14" fillId="0" borderId="11" xfId="0" applyFont="1" applyBorder="1" applyAlignment="1">
      <alignment horizontal="right" vertical="center"/>
    </xf>
    <xf numFmtId="0" fontId="14" fillId="0" borderId="0" xfId="0" applyFont="1" applyAlignment="1">
      <alignment horizontal="right" vertical="center"/>
    </xf>
    <xf numFmtId="0" fontId="13" fillId="0" borderId="11" xfId="0" applyFont="1" applyBorder="1" applyAlignment="1">
      <alignment horizontal="right" vertical="center"/>
    </xf>
    <xf numFmtId="0" fontId="13" fillId="0" borderId="0" xfId="0" applyFont="1" applyAlignment="1">
      <alignment horizontal="right" vertical="center"/>
    </xf>
    <xf numFmtId="0" fontId="13" fillId="0" borderId="3" xfId="0" applyFont="1" applyBorder="1" applyAlignment="1">
      <alignment horizontal="right"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top" wrapText="1"/>
    </xf>
    <xf numFmtId="3" fontId="8" fillId="0" borderId="4" xfId="0" applyNumberFormat="1" applyFont="1" applyFill="1" applyBorder="1" applyAlignment="1">
      <alignment horizontal="center" vertical="center" wrapText="1"/>
    </xf>
    <xf numFmtId="164" fontId="8" fillId="0" borderId="4" xfId="0" applyNumberFormat="1" applyFont="1" applyFill="1" applyBorder="1" applyAlignment="1">
      <alignment horizontal="center" vertical="center" wrapText="1"/>
    </xf>
    <xf numFmtId="0" fontId="8" fillId="3" borderId="4" xfId="0" applyFont="1" applyFill="1" applyBorder="1" applyAlignment="1">
      <alignment horizontal="left" vertical="center" wrapText="1"/>
    </xf>
    <xf numFmtId="4" fontId="8" fillId="0" borderId="4" xfId="0" applyNumberFormat="1" applyFont="1" applyFill="1" applyBorder="1" applyAlignment="1">
      <alignment horizontal="center" vertical="center" wrapText="1"/>
    </xf>
    <xf numFmtId="3" fontId="8" fillId="0" borderId="4" xfId="2" applyNumberFormat="1" applyFont="1" applyFill="1" applyBorder="1" applyAlignment="1">
      <alignment horizontal="center" vertical="center"/>
    </xf>
  </cellXfs>
  <cellStyles count="4">
    <cellStyle name="Currency" xfId="1" builtinId="4"/>
    <cellStyle name="Normal" xfId="0" builtinId="0"/>
    <cellStyle name="Normal 2" xfId="3" xr:uid="{BF31AF79-C6E1-4672-93D0-456030223335}"/>
    <cellStyle name="Percent" xfId="2" builtinId="5"/>
  </cellStyles>
  <dxfs count="0"/>
  <tableStyles count="0" defaultTableStyle="TableStyleMedium2" defaultPivotStyle="PivotStyleLight16"/>
  <colors>
    <mruColors>
      <color rgb="FFFF99FF"/>
      <color rgb="FFFF33CC"/>
      <color rgb="FFFFD9F5"/>
      <color rgb="FFD0B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5"/>
  <sheetViews>
    <sheetView view="pageBreakPreview" topLeftCell="A287" zoomScale="130" zoomScaleNormal="130" zoomScaleSheetLayoutView="130" zoomScalePageLayoutView="130" workbookViewId="0">
      <selection activeCell="C296" sqref="C296"/>
    </sheetView>
  </sheetViews>
  <sheetFormatPr defaultColWidth="9.140625" defaultRowHeight="15" customHeight="1" x14ac:dyDescent="0.2"/>
  <cols>
    <col min="1" max="1" width="7.5703125" style="32" bestFit="1" customWidth="1"/>
    <col min="2" max="2" width="9.42578125" style="32" customWidth="1"/>
    <col min="3" max="3" width="34.85546875" style="36" customWidth="1"/>
    <col min="4" max="4" width="5" style="36" bestFit="1" customWidth="1"/>
    <col min="5" max="5" width="12.28515625" style="36" bestFit="1" customWidth="1"/>
    <col min="6" max="6" width="9.85546875" style="88" bestFit="1" customWidth="1"/>
    <col min="7" max="7" width="14.7109375" style="36" customWidth="1"/>
    <col min="8" max="8" width="9.140625" style="36"/>
    <col min="9" max="9" width="13.85546875" style="36" bestFit="1" customWidth="1"/>
    <col min="10" max="16384" width="9.140625" style="36"/>
  </cols>
  <sheetData>
    <row r="1" spans="1:7" ht="15" customHeight="1" x14ac:dyDescent="0.2">
      <c r="A1" s="527" t="s">
        <v>75</v>
      </c>
      <c r="B1" s="527"/>
      <c r="C1" s="527"/>
      <c r="D1" s="527"/>
      <c r="E1" s="527"/>
      <c r="F1" s="527"/>
      <c r="G1" s="527"/>
    </row>
    <row r="2" spans="1:7" ht="27.75" customHeight="1" x14ac:dyDescent="0.2">
      <c r="A2" s="13" t="s">
        <v>91</v>
      </c>
      <c r="B2" s="14" t="s">
        <v>21</v>
      </c>
      <c r="C2" s="464" t="s">
        <v>0</v>
      </c>
      <c r="D2" s="14" t="s">
        <v>1</v>
      </c>
      <c r="E2" s="14" t="s">
        <v>22</v>
      </c>
      <c r="F2" s="86" t="s">
        <v>2</v>
      </c>
      <c r="G2" s="15" t="s">
        <v>141</v>
      </c>
    </row>
    <row r="3" spans="1:7" ht="15" customHeight="1" x14ac:dyDescent="0.2">
      <c r="A3" s="370"/>
      <c r="B3" s="371"/>
      <c r="C3" s="372"/>
      <c r="D3" s="371"/>
      <c r="E3" s="371"/>
      <c r="F3" s="373"/>
      <c r="G3" s="374"/>
    </row>
    <row r="4" spans="1:7" s="21" customFormat="1" ht="24" x14ac:dyDescent="0.25">
      <c r="A4" s="1"/>
      <c r="B4" s="5" t="s">
        <v>23</v>
      </c>
      <c r="C4" s="19" t="s">
        <v>24</v>
      </c>
      <c r="D4" s="2"/>
      <c r="E4" s="20"/>
      <c r="F4" s="53"/>
      <c r="G4" s="16"/>
    </row>
    <row r="5" spans="1:7" ht="15" customHeight="1" x14ac:dyDescent="0.2">
      <c r="A5" s="370"/>
      <c r="B5" s="371"/>
      <c r="C5" s="372"/>
      <c r="D5" s="371"/>
      <c r="E5" s="371"/>
      <c r="F5" s="373"/>
      <c r="G5" s="374"/>
    </row>
    <row r="6" spans="1:7" s="21" customFormat="1" ht="24" x14ac:dyDescent="0.25">
      <c r="A6" s="34" t="s">
        <v>96</v>
      </c>
      <c r="B6" s="5">
        <v>8.3000000000000007</v>
      </c>
      <c r="C6" s="19" t="s">
        <v>25</v>
      </c>
      <c r="D6" s="2"/>
      <c r="E6" s="2"/>
      <c r="F6" s="53"/>
      <c r="G6" s="16"/>
    </row>
    <row r="7" spans="1:7" ht="15" customHeight="1" x14ac:dyDescent="0.2">
      <c r="A7" s="370"/>
      <c r="B7" s="371"/>
      <c r="C7" s="372"/>
      <c r="D7" s="371"/>
      <c r="E7" s="371"/>
      <c r="F7" s="373"/>
      <c r="G7" s="374"/>
    </row>
    <row r="8" spans="1:7" s="21" customFormat="1" ht="15" customHeight="1" x14ac:dyDescent="0.25">
      <c r="A8" s="1" t="s">
        <v>97</v>
      </c>
      <c r="B8" s="2" t="s">
        <v>26</v>
      </c>
      <c r="C8" s="3" t="s">
        <v>27</v>
      </c>
      <c r="D8" s="2" t="s">
        <v>28</v>
      </c>
      <c r="E8" s="99">
        <v>1</v>
      </c>
      <c r="F8" s="53"/>
      <c r="G8" s="16"/>
    </row>
    <row r="9" spans="1:7" ht="15" customHeight="1" x14ac:dyDescent="0.2">
      <c r="A9" s="370"/>
      <c r="B9" s="371"/>
      <c r="C9" s="372"/>
      <c r="D9" s="371"/>
      <c r="E9" s="371"/>
      <c r="F9" s="373"/>
      <c r="G9" s="374"/>
    </row>
    <row r="10" spans="1:7" s="21" customFormat="1" ht="15" customHeight="1" x14ac:dyDescent="0.25">
      <c r="A10" s="1"/>
      <c r="B10" s="5" t="s">
        <v>11</v>
      </c>
      <c r="C10" s="19" t="s">
        <v>30</v>
      </c>
      <c r="D10" s="2"/>
      <c r="E10" s="99"/>
      <c r="F10" s="53"/>
      <c r="G10" s="16"/>
    </row>
    <row r="11" spans="1:7" ht="15" customHeight="1" x14ac:dyDescent="0.2">
      <c r="A11" s="370"/>
      <c r="B11" s="371"/>
      <c r="C11" s="372"/>
      <c r="D11" s="371"/>
      <c r="E11" s="371"/>
      <c r="F11" s="373"/>
      <c r="G11" s="374"/>
    </row>
    <row r="12" spans="1:7" s="21" customFormat="1" ht="15" customHeight="1" x14ac:dyDescent="0.25">
      <c r="A12" s="1"/>
      <c r="B12" s="61" t="s">
        <v>31</v>
      </c>
      <c r="C12" s="9" t="s">
        <v>79</v>
      </c>
      <c r="D12" s="2"/>
      <c r="E12" s="99" t="s">
        <v>29</v>
      </c>
      <c r="F12" s="53"/>
      <c r="G12" s="16"/>
    </row>
    <row r="13" spans="1:7" ht="15" customHeight="1" x14ac:dyDescent="0.2">
      <c r="A13" s="370"/>
      <c r="B13" s="371"/>
      <c r="C13" s="372"/>
      <c r="D13" s="371"/>
      <c r="E13" s="371"/>
      <c r="F13" s="373"/>
      <c r="G13" s="374"/>
    </row>
    <row r="14" spans="1:7" s="21" customFormat="1" ht="24" x14ac:dyDescent="0.25">
      <c r="A14" s="118" t="s">
        <v>1119</v>
      </c>
      <c r="B14" s="2" t="s">
        <v>32</v>
      </c>
      <c r="C14" s="3" t="s">
        <v>206</v>
      </c>
      <c r="D14" s="2" t="s">
        <v>28</v>
      </c>
      <c r="E14" s="99">
        <v>1</v>
      </c>
      <c r="F14" s="53"/>
      <c r="G14" s="16"/>
    </row>
    <row r="15" spans="1:7" ht="15" customHeight="1" x14ac:dyDescent="0.2">
      <c r="A15" s="370"/>
      <c r="B15" s="371"/>
      <c r="C15" s="372"/>
      <c r="D15" s="371"/>
      <c r="E15" s="371"/>
      <c r="F15" s="373"/>
      <c r="G15" s="374"/>
    </row>
    <row r="16" spans="1:7" s="21" customFormat="1" ht="15" customHeight="1" x14ac:dyDescent="0.25">
      <c r="A16" s="1" t="s">
        <v>98</v>
      </c>
      <c r="B16" s="2" t="s">
        <v>31</v>
      </c>
      <c r="C16" s="3" t="s">
        <v>33</v>
      </c>
      <c r="D16" s="2" t="s">
        <v>28</v>
      </c>
      <c r="E16" s="99">
        <v>1</v>
      </c>
      <c r="F16" s="53"/>
      <c r="G16" s="16"/>
    </row>
    <row r="17" spans="1:7" ht="15" customHeight="1" x14ac:dyDescent="0.2">
      <c r="A17" s="370"/>
      <c r="B17" s="371"/>
      <c r="C17" s="372"/>
      <c r="D17" s="371"/>
      <c r="E17" s="371"/>
      <c r="F17" s="373"/>
      <c r="G17" s="374"/>
    </row>
    <row r="18" spans="1:7" s="21" customFormat="1" ht="24" x14ac:dyDescent="0.25">
      <c r="A18" s="118" t="s">
        <v>1120</v>
      </c>
      <c r="B18" s="2" t="s">
        <v>34</v>
      </c>
      <c r="C18" s="3" t="s">
        <v>80</v>
      </c>
      <c r="D18" s="2" t="s">
        <v>28</v>
      </c>
      <c r="E18" s="99">
        <v>1</v>
      </c>
      <c r="F18" s="53"/>
      <c r="G18" s="16"/>
    </row>
    <row r="19" spans="1:7" ht="15" customHeight="1" x14ac:dyDescent="0.2">
      <c r="A19" s="370"/>
      <c r="B19" s="371"/>
      <c r="C19" s="372"/>
      <c r="D19" s="371"/>
      <c r="E19" s="371"/>
      <c r="F19" s="373"/>
      <c r="G19" s="374"/>
    </row>
    <row r="20" spans="1:7" s="21" customFormat="1" ht="15" customHeight="1" x14ac:dyDescent="0.25">
      <c r="A20" s="1"/>
      <c r="B20" s="61" t="s">
        <v>35</v>
      </c>
      <c r="C20" s="9" t="s">
        <v>36</v>
      </c>
      <c r="D20" s="2"/>
      <c r="E20" s="99"/>
      <c r="F20" s="53"/>
      <c r="G20" s="16"/>
    </row>
    <row r="21" spans="1:7" ht="15" customHeight="1" x14ac:dyDescent="0.2">
      <c r="A21" s="370"/>
      <c r="B21" s="371"/>
      <c r="C21" s="372"/>
      <c r="D21" s="371"/>
      <c r="E21" s="371"/>
      <c r="F21" s="373"/>
      <c r="G21" s="374"/>
    </row>
    <row r="22" spans="1:7" s="21" customFormat="1" ht="15" customHeight="1" x14ac:dyDescent="0.25">
      <c r="A22" s="118" t="s">
        <v>1121</v>
      </c>
      <c r="B22" s="2"/>
      <c r="C22" s="3" t="s">
        <v>37</v>
      </c>
      <c r="D22" s="2" t="s">
        <v>28</v>
      </c>
      <c r="E22" s="99">
        <v>1</v>
      </c>
      <c r="F22" s="53"/>
      <c r="G22" s="16"/>
    </row>
    <row r="23" spans="1:7" ht="15" customHeight="1" x14ac:dyDescent="0.2">
      <c r="A23" s="370"/>
      <c r="B23" s="371"/>
      <c r="C23" s="372"/>
      <c r="D23" s="371"/>
      <c r="E23" s="371"/>
      <c r="F23" s="373"/>
      <c r="G23" s="374"/>
    </row>
    <row r="24" spans="1:7" s="21" customFormat="1" ht="15" customHeight="1" x14ac:dyDescent="0.25">
      <c r="A24" s="1" t="s">
        <v>99</v>
      </c>
      <c r="B24" s="2"/>
      <c r="C24" s="3" t="s">
        <v>38</v>
      </c>
      <c r="D24" s="2" t="s">
        <v>28</v>
      </c>
      <c r="E24" s="99">
        <v>1</v>
      </c>
      <c r="F24" s="53"/>
      <c r="G24" s="16"/>
    </row>
    <row r="25" spans="1:7" ht="15" customHeight="1" x14ac:dyDescent="0.2">
      <c r="A25" s="370"/>
      <c r="B25" s="371"/>
      <c r="C25" s="372"/>
      <c r="D25" s="371"/>
      <c r="E25" s="371"/>
      <c r="F25" s="373"/>
      <c r="G25" s="374"/>
    </row>
    <row r="26" spans="1:7" s="21" customFormat="1" ht="15" customHeight="1" x14ac:dyDescent="0.25">
      <c r="A26" s="118" t="s">
        <v>1122</v>
      </c>
      <c r="B26" s="2"/>
      <c r="C26" s="3" t="s">
        <v>39</v>
      </c>
      <c r="D26" s="2" t="s">
        <v>28</v>
      </c>
      <c r="E26" s="99">
        <v>1</v>
      </c>
      <c r="F26" s="53"/>
      <c r="G26" s="16"/>
    </row>
    <row r="27" spans="1:7" ht="15" customHeight="1" x14ac:dyDescent="0.2">
      <c r="A27" s="370"/>
      <c r="B27" s="371"/>
      <c r="C27" s="372"/>
      <c r="D27" s="371"/>
      <c r="E27" s="371"/>
      <c r="F27" s="373"/>
      <c r="G27" s="374"/>
    </row>
    <row r="28" spans="1:7" s="21" customFormat="1" ht="15" customHeight="1" x14ac:dyDescent="0.25">
      <c r="A28" s="118" t="s">
        <v>1123</v>
      </c>
      <c r="B28" s="2"/>
      <c r="C28" s="3" t="s">
        <v>40</v>
      </c>
      <c r="D28" s="2" t="s">
        <v>28</v>
      </c>
      <c r="E28" s="99">
        <v>1</v>
      </c>
      <c r="F28" s="53"/>
      <c r="G28" s="16"/>
    </row>
    <row r="29" spans="1:7" ht="15" customHeight="1" x14ac:dyDescent="0.2">
      <c r="A29" s="370"/>
      <c r="B29" s="371"/>
      <c r="C29" s="372"/>
      <c r="D29" s="371"/>
      <c r="E29" s="371"/>
      <c r="F29" s="373"/>
      <c r="G29" s="374"/>
    </row>
    <row r="30" spans="1:7" s="21" customFormat="1" ht="15" customHeight="1" x14ac:dyDescent="0.25">
      <c r="A30" s="1" t="s">
        <v>100</v>
      </c>
      <c r="B30" s="2"/>
      <c r="C30" s="3" t="s">
        <v>41</v>
      </c>
      <c r="D30" s="2" t="s">
        <v>28</v>
      </c>
      <c r="E30" s="99">
        <v>1</v>
      </c>
      <c r="F30" s="53"/>
      <c r="G30" s="16"/>
    </row>
    <row r="31" spans="1:7" ht="15" customHeight="1" x14ac:dyDescent="0.2">
      <c r="A31" s="370"/>
      <c r="B31" s="371"/>
      <c r="C31" s="372"/>
      <c r="D31" s="371"/>
      <c r="E31" s="371"/>
      <c r="F31" s="373"/>
      <c r="G31" s="374"/>
    </row>
    <row r="32" spans="1:7" s="21" customFormat="1" ht="24" x14ac:dyDescent="0.25">
      <c r="A32" s="1" t="s">
        <v>101</v>
      </c>
      <c r="B32" s="2"/>
      <c r="C32" s="3" t="s">
        <v>42</v>
      </c>
      <c r="D32" s="2" t="s">
        <v>28</v>
      </c>
      <c r="E32" s="99">
        <v>1</v>
      </c>
      <c r="F32" s="53"/>
      <c r="G32" s="16"/>
    </row>
    <row r="33" spans="1:7" ht="15" customHeight="1" x14ac:dyDescent="0.2">
      <c r="A33" s="370"/>
      <c r="B33" s="371"/>
      <c r="C33" s="372"/>
      <c r="D33" s="371"/>
      <c r="E33" s="371"/>
      <c r="F33" s="373"/>
      <c r="G33" s="374"/>
    </row>
    <row r="34" spans="1:7" s="21" customFormat="1" ht="15" customHeight="1" x14ac:dyDescent="0.25">
      <c r="A34" s="1" t="s">
        <v>102</v>
      </c>
      <c r="B34" s="2"/>
      <c r="C34" s="3" t="s">
        <v>43</v>
      </c>
      <c r="D34" s="2" t="s">
        <v>28</v>
      </c>
      <c r="E34" s="99">
        <v>1</v>
      </c>
      <c r="F34" s="53"/>
      <c r="G34" s="16"/>
    </row>
    <row r="35" spans="1:7" ht="15" customHeight="1" x14ac:dyDescent="0.2">
      <c r="A35" s="370"/>
      <c r="B35" s="371"/>
      <c r="C35" s="372"/>
      <c r="D35" s="371"/>
      <c r="E35" s="371"/>
      <c r="F35" s="373"/>
      <c r="G35" s="374"/>
    </row>
    <row r="36" spans="1:7" s="21" customFormat="1" ht="15" customHeight="1" x14ac:dyDescent="0.25">
      <c r="A36" s="1" t="s">
        <v>103</v>
      </c>
      <c r="B36" s="2"/>
      <c r="C36" s="3" t="s">
        <v>44</v>
      </c>
      <c r="D36" s="2" t="s">
        <v>28</v>
      </c>
      <c r="E36" s="99">
        <v>1</v>
      </c>
      <c r="F36" s="53"/>
      <c r="G36" s="16"/>
    </row>
    <row r="37" spans="1:7" ht="15" customHeight="1" x14ac:dyDescent="0.2">
      <c r="A37" s="370"/>
      <c r="B37" s="371"/>
      <c r="C37" s="372"/>
      <c r="D37" s="371"/>
      <c r="E37" s="371"/>
      <c r="F37" s="373"/>
      <c r="G37" s="374"/>
    </row>
    <row r="38" spans="1:7" s="21" customFormat="1" ht="15" customHeight="1" x14ac:dyDescent="0.25">
      <c r="A38" s="118" t="s">
        <v>1124</v>
      </c>
      <c r="B38" s="2"/>
      <c r="C38" s="3" t="s">
        <v>45</v>
      </c>
      <c r="D38" s="2" t="s">
        <v>28</v>
      </c>
      <c r="E38" s="99">
        <v>1</v>
      </c>
      <c r="F38" s="53"/>
      <c r="G38" s="16"/>
    </row>
    <row r="39" spans="1:7" s="21" customFormat="1" ht="15" customHeight="1" x14ac:dyDescent="0.25">
      <c r="A39" s="370"/>
      <c r="B39" s="371"/>
      <c r="C39" s="372"/>
      <c r="D39" s="371"/>
      <c r="E39" s="371"/>
      <c r="F39" s="373"/>
      <c r="G39" s="374"/>
    </row>
    <row r="40" spans="1:7" s="21" customFormat="1" ht="15" customHeight="1" x14ac:dyDescent="0.25">
      <c r="A40" s="1"/>
      <c r="B40" s="2"/>
      <c r="C40" s="3"/>
      <c r="D40" s="2"/>
      <c r="E40" s="2"/>
      <c r="F40" s="53"/>
      <c r="G40" s="16"/>
    </row>
    <row r="41" spans="1:7" s="21" customFormat="1" ht="15" customHeight="1" x14ac:dyDescent="0.25">
      <c r="A41" s="370"/>
      <c r="B41" s="371"/>
      <c r="C41" s="372"/>
      <c r="D41" s="371"/>
      <c r="E41" s="371"/>
      <c r="F41" s="373"/>
      <c r="G41" s="374"/>
    </row>
    <row r="42" spans="1:7" s="21" customFormat="1" ht="15" customHeight="1" x14ac:dyDescent="0.25">
      <c r="A42" s="1"/>
      <c r="B42" s="2"/>
      <c r="C42" s="3"/>
      <c r="D42" s="2"/>
      <c r="E42" s="2"/>
      <c r="F42" s="53"/>
      <c r="G42" s="16"/>
    </row>
    <row r="43" spans="1:7" s="21" customFormat="1" ht="28.5" customHeight="1" x14ac:dyDescent="0.25">
      <c r="A43" s="526" t="s">
        <v>165</v>
      </c>
      <c r="B43" s="526"/>
      <c r="C43" s="526"/>
      <c r="D43" s="526"/>
      <c r="E43" s="526"/>
      <c r="F43" s="526"/>
      <c r="G43" s="17"/>
    </row>
    <row r="44" spans="1:7" s="21" customFormat="1" ht="28.5" customHeight="1" x14ac:dyDescent="0.25">
      <c r="A44" s="526" t="s">
        <v>166</v>
      </c>
      <c r="B44" s="526"/>
      <c r="C44" s="526"/>
      <c r="D44" s="526"/>
      <c r="E44" s="526"/>
      <c r="F44" s="526"/>
      <c r="G44" s="17"/>
    </row>
    <row r="45" spans="1:7" ht="12" x14ac:dyDescent="0.2">
      <c r="A45" s="370"/>
      <c r="B45" s="371"/>
      <c r="C45" s="372"/>
      <c r="D45" s="371"/>
      <c r="E45" s="371"/>
      <c r="F45" s="373"/>
      <c r="G45" s="374"/>
    </row>
    <row r="46" spans="1:7" s="21" customFormat="1" ht="24" x14ac:dyDescent="0.25">
      <c r="A46" s="1" t="s">
        <v>104</v>
      </c>
      <c r="B46" s="2" t="s">
        <v>49</v>
      </c>
      <c r="C46" s="3" t="s">
        <v>182</v>
      </c>
      <c r="D46" s="2"/>
      <c r="E46" s="2"/>
      <c r="F46" s="53"/>
      <c r="G46" s="16"/>
    </row>
    <row r="47" spans="1:7" ht="12" x14ac:dyDescent="0.2">
      <c r="A47" s="370"/>
      <c r="B47" s="371"/>
      <c r="C47" s="372"/>
      <c r="D47" s="371"/>
      <c r="E47" s="371"/>
      <c r="F47" s="373"/>
      <c r="G47" s="374"/>
    </row>
    <row r="48" spans="1:7" s="21" customFormat="1" ht="15" customHeight="1" x14ac:dyDescent="0.25">
      <c r="A48" s="1" t="s">
        <v>186</v>
      </c>
      <c r="B48" s="2"/>
      <c r="C48" s="8" t="s">
        <v>183</v>
      </c>
      <c r="D48" s="2" t="s">
        <v>28</v>
      </c>
      <c r="E48" s="55">
        <v>1</v>
      </c>
      <c r="F48" s="53"/>
      <c r="G48" s="16"/>
    </row>
    <row r="49" spans="1:7" ht="12" x14ac:dyDescent="0.2">
      <c r="A49" s="370"/>
      <c r="B49" s="371"/>
      <c r="C49" s="372"/>
      <c r="D49" s="371"/>
      <c r="E49" s="371"/>
      <c r="F49" s="373"/>
      <c r="G49" s="374"/>
    </row>
    <row r="50" spans="1:7" ht="15" customHeight="1" x14ac:dyDescent="0.2">
      <c r="A50" s="26" t="s">
        <v>187</v>
      </c>
      <c r="B50" s="33"/>
      <c r="C50" s="8" t="s">
        <v>183</v>
      </c>
      <c r="D50" s="2" t="s">
        <v>28</v>
      </c>
      <c r="E50" s="55">
        <v>1</v>
      </c>
      <c r="F50" s="53"/>
      <c r="G50" s="16"/>
    </row>
    <row r="51" spans="1:7" ht="12" x14ac:dyDescent="0.2">
      <c r="A51" s="370"/>
      <c r="B51" s="371"/>
      <c r="C51" s="372"/>
      <c r="D51" s="371"/>
      <c r="E51" s="371"/>
      <c r="F51" s="373"/>
      <c r="G51" s="374"/>
    </row>
    <row r="52" spans="1:7" ht="15" customHeight="1" x14ac:dyDescent="0.2">
      <c r="A52" s="26" t="s">
        <v>188</v>
      </c>
      <c r="B52" s="33"/>
      <c r="C52" s="8" t="s">
        <v>183</v>
      </c>
      <c r="D52" s="2" t="s">
        <v>28</v>
      </c>
      <c r="E52" s="55">
        <v>1</v>
      </c>
      <c r="F52" s="53"/>
      <c r="G52" s="16"/>
    </row>
    <row r="53" spans="1:7" ht="12" x14ac:dyDescent="0.2">
      <c r="A53" s="370"/>
      <c r="B53" s="371"/>
      <c r="C53" s="372"/>
      <c r="D53" s="371"/>
      <c r="E53" s="371"/>
      <c r="F53" s="373"/>
      <c r="G53" s="374"/>
    </row>
    <row r="54" spans="1:7" ht="15" customHeight="1" x14ac:dyDescent="0.2">
      <c r="A54" s="1" t="s">
        <v>105</v>
      </c>
      <c r="B54" s="2" t="s">
        <v>16</v>
      </c>
      <c r="C54" s="3" t="s">
        <v>46</v>
      </c>
      <c r="D54" s="2" t="s">
        <v>28</v>
      </c>
      <c r="E54" s="55">
        <v>1</v>
      </c>
      <c r="F54" s="53"/>
      <c r="G54" s="16"/>
    </row>
    <row r="55" spans="1:7" ht="12" x14ac:dyDescent="0.2">
      <c r="A55" s="370"/>
      <c r="B55" s="371"/>
      <c r="C55" s="372"/>
      <c r="D55" s="371"/>
      <c r="E55" s="371"/>
      <c r="F55" s="373"/>
      <c r="G55" s="374"/>
    </row>
    <row r="56" spans="1:7" ht="26.45" customHeight="1" x14ac:dyDescent="0.2">
      <c r="A56" s="1" t="s">
        <v>106</v>
      </c>
      <c r="B56" s="112" t="s">
        <v>472</v>
      </c>
      <c r="C56" s="3" t="s">
        <v>81</v>
      </c>
      <c r="D56" s="2" t="s">
        <v>28</v>
      </c>
      <c r="E56" s="55">
        <v>1</v>
      </c>
      <c r="F56" s="53"/>
      <c r="G56" s="16"/>
    </row>
    <row r="57" spans="1:7" ht="12" x14ac:dyDescent="0.2">
      <c r="A57" s="370"/>
      <c r="B57" s="371"/>
      <c r="C57" s="372"/>
      <c r="D57" s="371"/>
      <c r="E57" s="371"/>
      <c r="F57" s="373"/>
      <c r="G57" s="374"/>
    </row>
    <row r="58" spans="1:7" ht="36" x14ac:dyDescent="0.2">
      <c r="A58" s="1" t="s">
        <v>107</v>
      </c>
      <c r="B58" s="112" t="s">
        <v>471</v>
      </c>
      <c r="C58" s="3" t="s">
        <v>47</v>
      </c>
      <c r="D58" s="2" t="s">
        <v>28</v>
      </c>
      <c r="E58" s="55">
        <v>1</v>
      </c>
      <c r="F58" s="53"/>
      <c r="G58" s="16"/>
    </row>
    <row r="59" spans="1:7" ht="12" x14ac:dyDescent="0.2">
      <c r="A59" s="370"/>
      <c r="B59" s="371"/>
      <c r="C59" s="372"/>
      <c r="D59" s="371"/>
      <c r="E59" s="371"/>
      <c r="F59" s="373"/>
      <c r="G59" s="374"/>
    </row>
    <row r="60" spans="1:7" ht="24" x14ac:dyDescent="0.2">
      <c r="A60" s="118" t="s">
        <v>1125</v>
      </c>
      <c r="B60" s="112" t="s">
        <v>470</v>
      </c>
      <c r="C60" s="3" t="s">
        <v>214</v>
      </c>
      <c r="D60" s="2" t="s">
        <v>28</v>
      </c>
      <c r="E60" s="55">
        <v>1</v>
      </c>
      <c r="F60" s="53"/>
      <c r="G60" s="16"/>
    </row>
    <row r="61" spans="1:7" ht="12" x14ac:dyDescent="0.2">
      <c r="A61" s="370"/>
      <c r="B61" s="371"/>
      <c r="C61" s="372"/>
      <c r="D61" s="371"/>
      <c r="E61" s="371"/>
      <c r="F61" s="373"/>
      <c r="G61" s="374"/>
    </row>
    <row r="62" spans="1:7" s="21" customFormat="1" ht="12" x14ac:dyDescent="0.25">
      <c r="A62" s="118" t="s">
        <v>236</v>
      </c>
      <c r="B62" s="112" t="s">
        <v>469</v>
      </c>
      <c r="C62" s="3" t="s">
        <v>60</v>
      </c>
      <c r="D62" s="112" t="s">
        <v>28</v>
      </c>
      <c r="E62" s="55">
        <v>1</v>
      </c>
      <c r="F62" s="53"/>
      <c r="G62" s="16"/>
    </row>
    <row r="63" spans="1:7" s="21" customFormat="1" ht="12" x14ac:dyDescent="0.25">
      <c r="A63" s="370"/>
      <c r="B63" s="371"/>
      <c r="C63" s="372"/>
      <c r="D63" s="371"/>
      <c r="E63" s="371"/>
      <c r="F63" s="373"/>
      <c r="G63" s="374"/>
    </row>
    <row r="64" spans="1:7" s="21" customFormat="1" ht="12" x14ac:dyDescent="0.25">
      <c r="A64" s="118" t="s">
        <v>237</v>
      </c>
      <c r="B64" s="112" t="s">
        <v>249</v>
      </c>
      <c r="C64" s="3" t="s">
        <v>189</v>
      </c>
      <c r="D64" s="2" t="s">
        <v>28</v>
      </c>
      <c r="E64" s="55">
        <v>1</v>
      </c>
      <c r="F64" s="53"/>
      <c r="G64" s="16"/>
    </row>
    <row r="65" spans="1:7" s="21" customFormat="1" ht="12" x14ac:dyDescent="0.25">
      <c r="A65" s="370"/>
      <c r="B65" s="371"/>
      <c r="C65" s="372"/>
      <c r="D65" s="371"/>
      <c r="E65" s="371"/>
      <c r="F65" s="373"/>
      <c r="G65" s="374"/>
    </row>
    <row r="66" spans="1:7" s="21" customFormat="1" ht="24" x14ac:dyDescent="0.25">
      <c r="A66" s="118" t="s">
        <v>1126</v>
      </c>
      <c r="B66" s="525"/>
      <c r="C66" s="3" t="s">
        <v>210</v>
      </c>
      <c r="D66" s="2" t="s">
        <v>28</v>
      </c>
      <c r="E66" s="55">
        <v>1</v>
      </c>
      <c r="F66" s="53"/>
      <c r="G66" s="16"/>
    </row>
    <row r="67" spans="1:7" s="21" customFormat="1" ht="12" x14ac:dyDescent="0.25">
      <c r="A67" s="370"/>
      <c r="B67" s="371"/>
      <c r="C67" s="372"/>
      <c r="D67" s="371"/>
      <c r="E67" s="371"/>
      <c r="F67" s="373"/>
      <c r="G67" s="374"/>
    </row>
    <row r="68" spans="1:7" s="21" customFormat="1" ht="24" x14ac:dyDescent="0.25">
      <c r="A68" s="118" t="s">
        <v>238</v>
      </c>
      <c r="B68" s="96"/>
      <c r="C68" s="97" t="s">
        <v>231</v>
      </c>
      <c r="D68" s="96" t="s">
        <v>28</v>
      </c>
      <c r="E68" s="55">
        <v>1</v>
      </c>
      <c r="F68" s="53"/>
      <c r="G68" s="16"/>
    </row>
    <row r="69" spans="1:7" s="21" customFormat="1" ht="12" x14ac:dyDescent="0.25">
      <c r="A69" s="370"/>
      <c r="B69" s="371"/>
      <c r="C69" s="372"/>
      <c r="D69" s="371"/>
      <c r="E69" s="371"/>
      <c r="F69" s="373"/>
      <c r="G69" s="374"/>
    </row>
    <row r="70" spans="1:7" s="21" customFormat="1" ht="36" x14ac:dyDescent="0.25">
      <c r="A70" s="118" t="s">
        <v>209</v>
      </c>
      <c r="B70" s="112" t="s">
        <v>467</v>
      </c>
      <c r="C70" s="113" t="s">
        <v>468</v>
      </c>
      <c r="D70" s="112" t="s">
        <v>28</v>
      </c>
      <c r="E70" s="55">
        <v>1</v>
      </c>
      <c r="F70" s="53"/>
      <c r="G70" s="16"/>
    </row>
    <row r="71" spans="1:7" s="21" customFormat="1" ht="12" x14ac:dyDescent="0.25">
      <c r="A71" s="370"/>
      <c r="B71" s="371"/>
      <c r="C71" s="372"/>
      <c r="D71" s="371"/>
      <c r="E71" s="371"/>
      <c r="F71" s="373"/>
      <c r="G71" s="374"/>
    </row>
    <row r="72" spans="1:7" s="21" customFormat="1" ht="12" x14ac:dyDescent="0.25">
      <c r="A72" s="1"/>
      <c r="B72" s="2"/>
      <c r="C72" s="3"/>
      <c r="D72" s="2"/>
      <c r="E72" s="2"/>
      <c r="F72" s="53"/>
      <c r="G72" s="16"/>
    </row>
    <row r="73" spans="1:7" s="21" customFormat="1" ht="12" x14ac:dyDescent="0.25">
      <c r="A73" s="370"/>
      <c r="B73" s="371"/>
      <c r="C73" s="372"/>
      <c r="D73" s="371"/>
      <c r="E73" s="371"/>
      <c r="F73" s="373"/>
      <c r="G73" s="374"/>
    </row>
    <row r="74" spans="1:7" s="21" customFormat="1" ht="12" x14ac:dyDescent="0.25">
      <c r="A74" s="1"/>
      <c r="B74" s="2"/>
      <c r="C74" s="3"/>
      <c r="D74" s="2"/>
      <c r="E74" s="2"/>
      <c r="F74" s="53"/>
      <c r="G74" s="16"/>
    </row>
    <row r="75" spans="1:7" s="21" customFormat="1" ht="12" x14ac:dyDescent="0.25">
      <c r="A75" s="370"/>
      <c r="B75" s="371"/>
      <c r="C75" s="372"/>
      <c r="D75" s="371"/>
      <c r="E75" s="371"/>
      <c r="F75" s="373"/>
      <c r="G75" s="374"/>
    </row>
    <row r="76" spans="1:7" s="21" customFormat="1" ht="12" x14ac:dyDescent="0.25">
      <c r="A76" s="1"/>
      <c r="B76" s="2"/>
      <c r="C76" s="3"/>
      <c r="D76" s="2"/>
      <c r="E76" s="2"/>
      <c r="F76" s="53"/>
      <c r="G76" s="16"/>
    </row>
    <row r="77" spans="1:7" s="21" customFormat="1" ht="12" x14ac:dyDescent="0.25">
      <c r="A77" s="370"/>
      <c r="B77" s="371"/>
      <c r="C77" s="372"/>
      <c r="D77" s="371"/>
      <c r="E77" s="371"/>
      <c r="F77" s="373"/>
      <c r="G77" s="374"/>
    </row>
    <row r="78" spans="1:7" s="21" customFormat="1" ht="12" x14ac:dyDescent="0.25">
      <c r="A78" s="1"/>
      <c r="B78" s="2"/>
      <c r="C78" s="3"/>
      <c r="D78" s="2"/>
      <c r="E78" s="2"/>
      <c r="F78" s="53"/>
      <c r="G78" s="16"/>
    </row>
    <row r="79" spans="1:7" s="21" customFormat="1" ht="12" x14ac:dyDescent="0.25">
      <c r="A79" s="370"/>
      <c r="B79" s="371"/>
      <c r="C79" s="372"/>
      <c r="D79" s="371"/>
      <c r="E79" s="371"/>
      <c r="F79" s="373"/>
      <c r="G79" s="374"/>
    </row>
    <row r="80" spans="1:7" s="21" customFormat="1" ht="12" x14ac:dyDescent="0.25">
      <c r="A80" s="1"/>
      <c r="B80" s="2"/>
      <c r="C80" s="3"/>
      <c r="D80" s="2"/>
      <c r="E80" s="2"/>
      <c r="F80" s="53"/>
      <c r="G80" s="16"/>
    </row>
    <row r="81" spans="1:7" s="21" customFormat="1" ht="12" x14ac:dyDescent="0.25">
      <c r="A81" s="370"/>
      <c r="B81" s="371"/>
      <c r="C81" s="372"/>
      <c r="D81" s="371"/>
      <c r="E81" s="371"/>
      <c r="F81" s="373"/>
      <c r="G81" s="374"/>
    </row>
    <row r="82" spans="1:7" s="21" customFormat="1" ht="12" x14ac:dyDescent="0.25">
      <c r="A82" s="1"/>
      <c r="B82" s="2"/>
      <c r="C82" s="3"/>
      <c r="D82" s="2"/>
      <c r="E82" s="2"/>
      <c r="F82" s="53"/>
      <c r="G82" s="16"/>
    </row>
    <row r="83" spans="1:7" s="21" customFormat="1" ht="12" x14ac:dyDescent="0.25">
      <c r="A83" s="370"/>
      <c r="B83" s="371"/>
      <c r="C83" s="372"/>
      <c r="D83" s="371"/>
      <c r="E83" s="371"/>
      <c r="F83" s="373"/>
      <c r="G83" s="374"/>
    </row>
    <row r="84" spans="1:7" s="21" customFormat="1" ht="12" x14ac:dyDescent="0.25">
      <c r="A84" s="1"/>
      <c r="B84" s="2"/>
      <c r="C84" s="3"/>
      <c r="D84" s="2"/>
      <c r="E84" s="2"/>
      <c r="F84" s="53"/>
      <c r="G84" s="16"/>
    </row>
    <row r="85" spans="1:7" s="21" customFormat="1" ht="12" x14ac:dyDescent="0.25">
      <c r="A85" s="370"/>
      <c r="B85" s="371"/>
      <c r="C85" s="372"/>
      <c r="D85" s="371"/>
      <c r="E85" s="371"/>
      <c r="F85" s="373"/>
      <c r="G85" s="374"/>
    </row>
    <row r="86" spans="1:7" s="21" customFormat="1" ht="12" x14ac:dyDescent="0.25">
      <c r="A86" s="1"/>
      <c r="B86" s="2"/>
      <c r="C86" s="3"/>
      <c r="D86" s="2"/>
      <c r="E86" s="2"/>
      <c r="F86" s="53"/>
      <c r="G86" s="16"/>
    </row>
    <row r="87" spans="1:7" s="21" customFormat="1" ht="12" x14ac:dyDescent="0.25">
      <c r="A87" s="370"/>
      <c r="B87" s="371"/>
      <c r="C87" s="372"/>
      <c r="D87" s="371"/>
      <c r="E87" s="371"/>
      <c r="F87" s="373"/>
      <c r="G87" s="374"/>
    </row>
    <row r="88" spans="1:7" s="21" customFormat="1" ht="28.5" customHeight="1" x14ac:dyDescent="0.25">
      <c r="A88" s="526" t="s">
        <v>190</v>
      </c>
      <c r="B88" s="526"/>
      <c r="C88" s="526"/>
      <c r="D88" s="526"/>
      <c r="E88" s="526"/>
      <c r="F88" s="526"/>
      <c r="G88" s="85"/>
    </row>
    <row r="89" spans="1:7" s="21" customFormat="1" ht="15" customHeight="1" x14ac:dyDescent="0.25">
      <c r="A89" s="370"/>
      <c r="B89" s="371"/>
      <c r="C89" s="372"/>
      <c r="D89" s="371"/>
      <c r="E89" s="371"/>
      <c r="F89" s="373"/>
      <c r="G89" s="374"/>
    </row>
    <row r="90" spans="1:7" s="21" customFormat="1" ht="15" customHeight="1" x14ac:dyDescent="0.25">
      <c r="A90" s="34" t="s">
        <v>108</v>
      </c>
      <c r="B90" s="5">
        <v>8.4</v>
      </c>
      <c r="C90" s="19" t="s">
        <v>50</v>
      </c>
      <c r="D90" s="2"/>
      <c r="E90" s="2"/>
      <c r="F90" s="53"/>
      <c r="G90" s="16"/>
    </row>
    <row r="91" spans="1:7" ht="15" customHeight="1" x14ac:dyDescent="0.2">
      <c r="A91" s="370"/>
      <c r="B91" s="371"/>
      <c r="C91" s="372"/>
      <c r="D91" s="371"/>
      <c r="E91" s="371"/>
      <c r="F91" s="373"/>
      <c r="G91" s="374"/>
    </row>
    <row r="92" spans="1:7" s="21" customFormat="1" ht="15" customHeight="1" x14ac:dyDescent="0.25">
      <c r="A92" s="1" t="s">
        <v>109</v>
      </c>
      <c r="B92" s="2" t="s">
        <v>51</v>
      </c>
      <c r="C92" s="3" t="s">
        <v>27</v>
      </c>
      <c r="D92" s="2" t="s">
        <v>28</v>
      </c>
      <c r="E92" s="99">
        <v>1</v>
      </c>
      <c r="F92" s="53"/>
      <c r="G92" s="16"/>
    </row>
    <row r="93" spans="1:7" ht="12.6" customHeight="1" x14ac:dyDescent="0.2">
      <c r="A93" s="370"/>
      <c r="B93" s="371"/>
      <c r="C93" s="372"/>
      <c r="D93" s="371"/>
      <c r="E93" s="371"/>
      <c r="F93" s="373"/>
      <c r="G93" s="374"/>
    </row>
    <row r="94" spans="1:7" s="21" customFormat="1" ht="36" x14ac:dyDescent="0.25">
      <c r="A94" s="1"/>
      <c r="B94" s="5" t="s">
        <v>52</v>
      </c>
      <c r="C94" s="19" t="s">
        <v>53</v>
      </c>
      <c r="D94" s="2"/>
      <c r="E94" s="99"/>
      <c r="F94" s="53"/>
      <c r="G94" s="16"/>
    </row>
    <row r="95" spans="1:7" ht="13.9" customHeight="1" x14ac:dyDescent="0.2">
      <c r="A95" s="370"/>
      <c r="B95" s="371"/>
      <c r="C95" s="372"/>
      <c r="D95" s="371"/>
      <c r="E95" s="371"/>
      <c r="F95" s="373"/>
      <c r="G95" s="374"/>
    </row>
    <row r="96" spans="1:7" s="21" customFormat="1" ht="15" customHeight="1" x14ac:dyDescent="0.25">
      <c r="A96" s="1"/>
      <c r="B96" s="61" t="s">
        <v>54</v>
      </c>
      <c r="C96" s="9" t="s">
        <v>79</v>
      </c>
      <c r="D96" s="2"/>
      <c r="E96" s="99"/>
      <c r="F96" s="53"/>
      <c r="G96" s="16"/>
    </row>
    <row r="97" spans="1:7" ht="13.9" customHeight="1" x14ac:dyDescent="0.2">
      <c r="A97" s="370"/>
      <c r="B97" s="371"/>
      <c r="C97" s="372"/>
      <c r="D97" s="371"/>
      <c r="E97" s="371"/>
      <c r="F97" s="373"/>
      <c r="G97" s="374"/>
    </row>
    <row r="98" spans="1:7" s="21" customFormat="1" ht="24" x14ac:dyDescent="0.25">
      <c r="A98" s="118" t="s">
        <v>1127</v>
      </c>
      <c r="B98" s="2" t="s">
        <v>32</v>
      </c>
      <c r="C98" s="3" t="s">
        <v>207</v>
      </c>
      <c r="D98" s="2" t="s">
        <v>28</v>
      </c>
      <c r="E98" s="99">
        <v>1</v>
      </c>
      <c r="F98" s="53"/>
      <c r="G98" s="16"/>
    </row>
    <row r="99" spans="1:7" ht="13.15" customHeight="1" x14ac:dyDescent="0.2">
      <c r="A99" s="370"/>
      <c r="B99" s="371"/>
      <c r="C99" s="372"/>
      <c r="D99" s="371"/>
      <c r="E99" s="371"/>
      <c r="F99" s="373"/>
      <c r="G99" s="374"/>
    </row>
    <row r="100" spans="1:7" s="21" customFormat="1" ht="15" customHeight="1" x14ac:dyDescent="0.25">
      <c r="A100" s="103" t="s">
        <v>110</v>
      </c>
      <c r="B100" s="2" t="s">
        <v>31</v>
      </c>
      <c r="C100" s="3" t="s">
        <v>33</v>
      </c>
      <c r="D100" s="2" t="s">
        <v>28</v>
      </c>
      <c r="E100" s="99">
        <v>1</v>
      </c>
      <c r="F100" s="53"/>
      <c r="G100" s="16"/>
    </row>
    <row r="101" spans="1:7" ht="12" customHeight="1" x14ac:dyDescent="0.2">
      <c r="A101" s="370"/>
      <c r="B101" s="371"/>
      <c r="C101" s="372"/>
      <c r="D101" s="371"/>
      <c r="E101" s="371"/>
      <c r="F101" s="373"/>
      <c r="G101" s="374"/>
    </row>
    <row r="102" spans="1:7" s="21" customFormat="1" ht="15" customHeight="1" x14ac:dyDescent="0.25">
      <c r="A102" s="1"/>
      <c r="B102" s="61" t="s">
        <v>55</v>
      </c>
      <c r="C102" s="9" t="s">
        <v>36</v>
      </c>
      <c r="D102" s="2"/>
      <c r="E102" s="99"/>
      <c r="F102" s="53"/>
      <c r="G102" s="16"/>
    </row>
    <row r="103" spans="1:7" ht="15" customHeight="1" x14ac:dyDescent="0.2">
      <c r="A103" s="370"/>
      <c r="B103" s="371"/>
      <c r="C103" s="372"/>
      <c r="D103" s="371"/>
      <c r="E103" s="371"/>
      <c r="F103" s="373"/>
      <c r="G103" s="374"/>
    </row>
    <row r="104" spans="1:7" s="21" customFormat="1" ht="15" customHeight="1" x14ac:dyDescent="0.25">
      <c r="A104" s="118" t="s">
        <v>1128</v>
      </c>
      <c r="B104" s="2"/>
      <c r="C104" s="3" t="s">
        <v>37</v>
      </c>
      <c r="D104" s="2" t="s">
        <v>28</v>
      </c>
      <c r="E104" s="99">
        <v>1</v>
      </c>
      <c r="F104" s="53"/>
      <c r="G104" s="16"/>
    </row>
    <row r="105" spans="1:7" ht="15" customHeight="1" x14ac:dyDescent="0.2">
      <c r="A105" s="370"/>
      <c r="B105" s="371"/>
      <c r="C105" s="372"/>
      <c r="D105" s="371"/>
      <c r="E105" s="371"/>
      <c r="F105" s="373"/>
      <c r="G105" s="374"/>
    </row>
    <row r="106" spans="1:7" s="21" customFormat="1" ht="15" customHeight="1" x14ac:dyDescent="0.25">
      <c r="A106" s="1" t="s">
        <v>111</v>
      </c>
      <c r="B106" s="2"/>
      <c r="C106" s="3" t="s">
        <v>38</v>
      </c>
      <c r="D106" s="2" t="s">
        <v>28</v>
      </c>
      <c r="E106" s="99">
        <v>1</v>
      </c>
      <c r="F106" s="53"/>
      <c r="G106" s="16"/>
    </row>
    <row r="107" spans="1:7" ht="13.9" customHeight="1" x14ac:dyDescent="0.2">
      <c r="A107" s="370"/>
      <c r="B107" s="371"/>
      <c r="C107" s="372"/>
      <c r="D107" s="371"/>
      <c r="E107" s="371"/>
      <c r="F107" s="373"/>
      <c r="G107" s="374"/>
    </row>
    <row r="108" spans="1:7" s="21" customFormat="1" ht="15" customHeight="1" x14ac:dyDescent="0.25">
      <c r="A108" s="118" t="s">
        <v>1129</v>
      </c>
      <c r="B108" s="2"/>
      <c r="C108" s="3" t="s">
        <v>39</v>
      </c>
      <c r="D108" s="2" t="s">
        <v>28</v>
      </c>
      <c r="E108" s="99">
        <v>1</v>
      </c>
      <c r="F108" s="53"/>
      <c r="G108" s="16"/>
    </row>
    <row r="109" spans="1:7" ht="13.9" customHeight="1" x14ac:dyDescent="0.2">
      <c r="A109" s="370"/>
      <c r="B109" s="371"/>
      <c r="C109" s="372"/>
      <c r="D109" s="371"/>
      <c r="E109" s="371"/>
      <c r="F109" s="373"/>
      <c r="G109" s="374"/>
    </row>
    <row r="110" spans="1:7" s="21" customFormat="1" ht="15" customHeight="1" x14ac:dyDescent="0.25">
      <c r="A110" s="118" t="s">
        <v>1130</v>
      </c>
      <c r="B110" s="2"/>
      <c r="C110" s="3" t="s">
        <v>40</v>
      </c>
      <c r="D110" s="2" t="s">
        <v>28</v>
      </c>
      <c r="E110" s="99">
        <v>1</v>
      </c>
      <c r="F110" s="53"/>
      <c r="G110" s="16"/>
    </row>
    <row r="111" spans="1:7" ht="12.6" customHeight="1" x14ac:dyDescent="0.2">
      <c r="A111" s="370"/>
      <c r="B111" s="371"/>
      <c r="C111" s="372"/>
      <c r="D111" s="371"/>
      <c r="E111" s="371"/>
      <c r="F111" s="373"/>
      <c r="G111" s="374"/>
    </row>
    <row r="112" spans="1:7" s="21" customFormat="1" ht="15" customHeight="1" x14ac:dyDescent="0.25">
      <c r="A112" s="1" t="s">
        <v>112</v>
      </c>
      <c r="B112" s="2"/>
      <c r="C112" s="3" t="s">
        <v>41</v>
      </c>
      <c r="D112" s="2" t="s">
        <v>28</v>
      </c>
      <c r="E112" s="99">
        <v>1</v>
      </c>
      <c r="F112" s="53"/>
      <c r="G112" s="16"/>
    </row>
    <row r="113" spans="1:7" ht="14.45" customHeight="1" x14ac:dyDescent="0.2">
      <c r="A113" s="370"/>
      <c r="B113" s="371"/>
      <c r="C113" s="372"/>
      <c r="D113" s="371"/>
      <c r="E113" s="371"/>
      <c r="F113" s="373"/>
      <c r="G113" s="374"/>
    </row>
    <row r="114" spans="1:7" s="21" customFormat="1" ht="24" x14ac:dyDescent="0.25">
      <c r="A114" s="1" t="s">
        <v>113</v>
      </c>
      <c r="B114" s="2"/>
      <c r="C114" s="3" t="s">
        <v>42</v>
      </c>
      <c r="D114" s="2" t="s">
        <v>28</v>
      </c>
      <c r="E114" s="99">
        <v>1</v>
      </c>
      <c r="F114" s="53"/>
      <c r="G114" s="16"/>
    </row>
    <row r="115" spans="1:7" ht="12" customHeight="1" x14ac:dyDescent="0.2">
      <c r="A115" s="370"/>
      <c r="B115" s="371"/>
      <c r="C115" s="372"/>
      <c r="D115" s="371"/>
      <c r="E115" s="371"/>
      <c r="F115" s="373"/>
      <c r="G115" s="374"/>
    </row>
    <row r="116" spans="1:7" s="21" customFormat="1" ht="15" customHeight="1" x14ac:dyDescent="0.25">
      <c r="A116" s="1" t="s">
        <v>114</v>
      </c>
      <c r="B116" s="2"/>
      <c r="C116" s="3" t="s">
        <v>43</v>
      </c>
      <c r="D116" s="2" t="s">
        <v>28</v>
      </c>
      <c r="E116" s="99">
        <v>1</v>
      </c>
      <c r="F116" s="53"/>
      <c r="G116" s="16"/>
    </row>
    <row r="117" spans="1:7" ht="13.9" customHeight="1" x14ac:dyDescent="0.2">
      <c r="A117" s="370"/>
      <c r="B117" s="371"/>
      <c r="C117" s="372"/>
      <c r="D117" s="371"/>
      <c r="E117" s="371"/>
      <c r="F117" s="373"/>
      <c r="G117" s="374"/>
    </row>
    <row r="118" spans="1:7" s="21" customFormat="1" ht="15" customHeight="1" x14ac:dyDescent="0.25">
      <c r="A118" s="1" t="s">
        <v>115</v>
      </c>
      <c r="B118" s="2"/>
      <c r="C118" s="3" t="s">
        <v>44</v>
      </c>
      <c r="D118" s="2" t="s">
        <v>28</v>
      </c>
      <c r="E118" s="99">
        <v>1</v>
      </c>
      <c r="F118" s="53"/>
      <c r="G118" s="16"/>
    </row>
    <row r="119" spans="1:7" ht="12" x14ac:dyDescent="0.2">
      <c r="A119" s="370"/>
      <c r="B119" s="371"/>
      <c r="C119" s="372"/>
      <c r="D119" s="371"/>
      <c r="E119" s="371"/>
      <c r="F119" s="373"/>
      <c r="G119" s="374"/>
    </row>
    <row r="120" spans="1:7" s="21" customFormat="1" ht="15" customHeight="1" x14ac:dyDescent="0.25">
      <c r="A120" s="118" t="s">
        <v>1131</v>
      </c>
      <c r="B120" s="2"/>
      <c r="C120" s="3" t="s">
        <v>45</v>
      </c>
      <c r="D120" s="2" t="s">
        <v>28</v>
      </c>
      <c r="E120" s="99">
        <v>1</v>
      </c>
      <c r="F120" s="53"/>
      <c r="G120" s="16"/>
    </row>
    <row r="121" spans="1:7" s="21" customFormat="1" ht="12" x14ac:dyDescent="0.25">
      <c r="A121" s="370"/>
      <c r="B121" s="371"/>
      <c r="C121" s="372"/>
      <c r="D121" s="371"/>
      <c r="E121" s="371"/>
      <c r="F121" s="373"/>
      <c r="G121" s="374"/>
    </row>
    <row r="122" spans="1:7" s="21" customFormat="1" ht="24" x14ac:dyDescent="0.25">
      <c r="A122" s="1" t="s">
        <v>116</v>
      </c>
      <c r="B122" s="2" t="s">
        <v>56</v>
      </c>
      <c r="C122" s="3" t="s">
        <v>57</v>
      </c>
      <c r="D122" s="2" t="s">
        <v>28</v>
      </c>
      <c r="E122" s="99">
        <v>1</v>
      </c>
      <c r="F122" s="53"/>
      <c r="G122" s="16"/>
    </row>
    <row r="123" spans="1:7" s="21" customFormat="1" ht="12" x14ac:dyDescent="0.25">
      <c r="A123" s="370"/>
      <c r="B123" s="371"/>
      <c r="C123" s="372"/>
      <c r="D123" s="371"/>
      <c r="E123" s="371"/>
      <c r="F123" s="373"/>
      <c r="G123" s="374"/>
    </row>
    <row r="124" spans="1:7" s="21" customFormat="1" ht="24" x14ac:dyDescent="0.25">
      <c r="A124" s="1" t="s">
        <v>117</v>
      </c>
      <c r="B124" s="2" t="s">
        <v>58</v>
      </c>
      <c r="C124" s="3" t="s">
        <v>59</v>
      </c>
      <c r="D124" s="2" t="s">
        <v>28</v>
      </c>
      <c r="E124" s="99">
        <v>1</v>
      </c>
      <c r="F124" s="53"/>
      <c r="G124" s="16"/>
    </row>
    <row r="125" spans="1:7" s="21" customFormat="1" ht="12" x14ac:dyDescent="0.25">
      <c r="A125" s="370"/>
      <c r="B125" s="371"/>
      <c r="C125" s="372"/>
      <c r="D125" s="371"/>
      <c r="E125" s="371"/>
      <c r="F125" s="373"/>
      <c r="G125" s="374"/>
    </row>
    <row r="126" spans="1:7" s="21" customFormat="1" ht="15" customHeight="1" x14ac:dyDescent="0.25">
      <c r="A126" s="1"/>
      <c r="B126" s="2"/>
      <c r="C126" s="3"/>
      <c r="D126" s="2"/>
      <c r="E126" s="2"/>
      <c r="F126" s="53"/>
      <c r="G126" s="16"/>
    </row>
    <row r="127" spans="1:7" s="21" customFormat="1" ht="12" x14ac:dyDescent="0.25">
      <c r="A127" s="370"/>
      <c r="B127" s="371"/>
      <c r="C127" s="372"/>
      <c r="D127" s="371"/>
      <c r="E127" s="371"/>
      <c r="F127" s="373"/>
      <c r="G127" s="374"/>
    </row>
    <row r="128" spans="1:7" s="21" customFormat="1" ht="12" x14ac:dyDescent="0.25">
      <c r="A128" s="1"/>
      <c r="B128" s="2"/>
      <c r="C128" s="3"/>
      <c r="D128" s="2"/>
      <c r="E128" s="2"/>
      <c r="F128" s="53"/>
      <c r="G128" s="16"/>
    </row>
    <row r="129" spans="1:7" s="21" customFormat="1" ht="12" x14ac:dyDescent="0.25">
      <c r="A129" s="370"/>
      <c r="B129" s="371"/>
      <c r="C129" s="372"/>
      <c r="D129" s="371"/>
      <c r="E129" s="371"/>
      <c r="F129" s="373"/>
      <c r="G129" s="374"/>
    </row>
    <row r="130" spans="1:7" s="21" customFormat="1" ht="12" x14ac:dyDescent="0.25">
      <c r="A130" s="1"/>
      <c r="B130" s="2"/>
      <c r="C130" s="3"/>
      <c r="D130" s="2"/>
      <c r="E130" s="2"/>
      <c r="F130" s="53"/>
      <c r="G130" s="16"/>
    </row>
    <row r="131" spans="1:7" s="21" customFormat="1" ht="28.5" customHeight="1" x14ac:dyDescent="0.25">
      <c r="A131" s="526" t="s">
        <v>165</v>
      </c>
      <c r="B131" s="526"/>
      <c r="C131" s="526"/>
      <c r="D131" s="526"/>
      <c r="E131" s="526"/>
      <c r="F131" s="526"/>
      <c r="G131" s="17"/>
    </row>
    <row r="132" spans="1:7" s="21" customFormat="1" ht="28.5" customHeight="1" x14ac:dyDescent="0.25">
      <c r="A132" s="526" t="s">
        <v>166</v>
      </c>
      <c r="B132" s="526"/>
      <c r="C132" s="526"/>
      <c r="D132" s="526"/>
      <c r="E132" s="526"/>
      <c r="F132" s="526"/>
      <c r="G132" s="17"/>
    </row>
    <row r="133" spans="1:7" s="21" customFormat="1" ht="15" customHeight="1" x14ac:dyDescent="0.25">
      <c r="A133" s="370"/>
      <c r="B133" s="371"/>
      <c r="C133" s="372"/>
      <c r="D133" s="371"/>
      <c r="E133" s="371"/>
      <c r="F133" s="373"/>
      <c r="G133" s="374"/>
    </row>
    <row r="134" spans="1:7" s="21" customFormat="1" ht="24" x14ac:dyDescent="0.25">
      <c r="A134" s="1" t="s">
        <v>118</v>
      </c>
      <c r="B134" s="2" t="s">
        <v>61</v>
      </c>
      <c r="C134" s="113" t="s">
        <v>181</v>
      </c>
      <c r="D134" s="2"/>
      <c r="E134" s="2"/>
      <c r="F134" s="53"/>
      <c r="G134" s="16"/>
    </row>
    <row r="135" spans="1:7" s="21" customFormat="1" ht="15" customHeight="1" x14ac:dyDescent="0.25">
      <c r="A135" s="370"/>
      <c r="B135" s="371"/>
      <c r="C135" s="372"/>
      <c r="D135" s="371"/>
      <c r="E135" s="371"/>
      <c r="F135" s="373"/>
      <c r="G135" s="374"/>
    </row>
    <row r="136" spans="1:7" s="21" customFormat="1" ht="15" customHeight="1" x14ac:dyDescent="0.25">
      <c r="A136" s="1" t="s">
        <v>191</v>
      </c>
      <c r="B136" s="2"/>
      <c r="C136" s="134" t="s">
        <v>462</v>
      </c>
      <c r="D136" s="2" t="s">
        <v>28</v>
      </c>
      <c r="E136" s="55">
        <v>1</v>
      </c>
      <c r="F136" s="53"/>
      <c r="G136" s="16"/>
    </row>
    <row r="137" spans="1:7" s="21" customFormat="1" ht="15" customHeight="1" x14ac:dyDescent="0.25">
      <c r="A137" s="370"/>
      <c r="B137" s="371"/>
      <c r="C137" s="372"/>
      <c r="D137" s="371"/>
      <c r="E137" s="371"/>
      <c r="F137" s="373"/>
      <c r="G137" s="374"/>
    </row>
    <row r="138" spans="1:7" s="21" customFormat="1" ht="15" customHeight="1" x14ac:dyDescent="0.25">
      <c r="A138" s="1" t="s">
        <v>192</v>
      </c>
      <c r="B138" s="2"/>
      <c r="C138" s="134" t="s">
        <v>462</v>
      </c>
      <c r="D138" s="2" t="s">
        <v>28</v>
      </c>
      <c r="E138" s="55">
        <v>1</v>
      </c>
      <c r="F138" s="53"/>
      <c r="G138" s="16"/>
    </row>
    <row r="139" spans="1:7" s="21" customFormat="1" ht="15" customHeight="1" x14ac:dyDescent="0.25">
      <c r="A139" s="370"/>
      <c r="B139" s="371"/>
      <c r="C139" s="372"/>
      <c r="D139" s="371"/>
      <c r="E139" s="371"/>
      <c r="F139" s="373"/>
      <c r="G139" s="374"/>
    </row>
    <row r="140" spans="1:7" s="21" customFormat="1" ht="15" customHeight="1" x14ac:dyDescent="0.25">
      <c r="A140" s="118" t="s">
        <v>463</v>
      </c>
      <c r="B140" s="2"/>
      <c r="C140" s="134" t="s">
        <v>462</v>
      </c>
      <c r="D140" s="2" t="s">
        <v>28</v>
      </c>
      <c r="E140" s="55">
        <v>1</v>
      </c>
      <c r="F140" s="53"/>
      <c r="G140" s="16"/>
    </row>
    <row r="141" spans="1:7" ht="15" customHeight="1" x14ac:dyDescent="0.2">
      <c r="A141" s="370"/>
      <c r="B141" s="371"/>
      <c r="C141" s="372"/>
      <c r="D141" s="371"/>
      <c r="E141" s="371"/>
      <c r="F141" s="373"/>
      <c r="G141" s="374"/>
    </row>
    <row r="142" spans="1:7" ht="36" x14ac:dyDescent="0.2">
      <c r="A142" s="1" t="s">
        <v>119</v>
      </c>
      <c r="B142" s="2" t="s">
        <v>184</v>
      </c>
      <c r="C142" s="3" t="s">
        <v>47</v>
      </c>
      <c r="D142" s="2" t="s">
        <v>28</v>
      </c>
      <c r="E142" s="55">
        <v>1</v>
      </c>
      <c r="F142" s="53"/>
      <c r="G142" s="16"/>
    </row>
    <row r="143" spans="1:7" ht="15" customHeight="1" x14ac:dyDescent="0.2">
      <c r="A143" s="370"/>
      <c r="B143" s="371"/>
      <c r="C143" s="372"/>
      <c r="D143" s="371"/>
      <c r="E143" s="371"/>
      <c r="F143" s="373"/>
      <c r="G143" s="374"/>
    </row>
    <row r="144" spans="1:7" s="21" customFormat="1" ht="25.9" customHeight="1" x14ac:dyDescent="0.25">
      <c r="A144" s="106" t="s">
        <v>232</v>
      </c>
      <c r="B144" s="105" t="s">
        <v>185</v>
      </c>
      <c r="C144" s="3" t="s">
        <v>48</v>
      </c>
      <c r="D144" s="2" t="s">
        <v>28</v>
      </c>
      <c r="E144" s="55">
        <v>1</v>
      </c>
      <c r="F144" s="53"/>
      <c r="G144" s="16"/>
    </row>
    <row r="145" spans="1:7" ht="15" customHeight="1" x14ac:dyDescent="0.2">
      <c r="A145" s="370"/>
      <c r="B145" s="371"/>
      <c r="C145" s="372"/>
      <c r="D145" s="371"/>
      <c r="E145" s="371"/>
      <c r="F145" s="373"/>
      <c r="G145" s="374"/>
    </row>
    <row r="146" spans="1:7" s="21" customFormat="1" ht="36" x14ac:dyDescent="0.25">
      <c r="A146" s="118" t="s">
        <v>464</v>
      </c>
      <c r="B146" s="96"/>
      <c r="C146" s="97" t="s">
        <v>233</v>
      </c>
      <c r="D146" s="96" t="s">
        <v>28</v>
      </c>
      <c r="E146" s="55">
        <v>1</v>
      </c>
      <c r="F146" s="53"/>
      <c r="G146" s="16"/>
    </row>
    <row r="147" spans="1:7" s="21" customFormat="1" ht="15" customHeight="1" x14ac:dyDescent="0.25">
      <c r="A147" s="370"/>
      <c r="B147" s="371"/>
      <c r="C147" s="372"/>
      <c r="D147" s="371"/>
      <c r="E147" s="371"/>
      <c r="F147" s="373"/>
      <c r="G147" s="374"/>
    </row>
    <row r="148" spans="1:7" s="21" customFormat="1" ht="48" x14ac:dyDescent="0.25">
      <c r="A148" s="118" t="s">
        <v>1132</v>
      </c>
      <c r="B148" s="112" t="s">
        <v>466</v>
      </c>
      <c r="C148" s="113" t="s">
        <v>465</v>
      </c>
      <c r="D148" s="112" t="s">
        <v>28</v>
      </c>
      <c r="E148" s="55">
        <v>1</v>
      </c>
      <c r="F148" s="53"/>
      <c r="G148" s="16"/>
    </row>
    <row r="149" spans="1:7" s="21" customFormat="1" ht="12" x14ac:dyDescent="0.25">
      <c r="A149" s="370"/>
      <c r="B149" s="371"/>
      <c r="C149" s="372"/>
      <c r="D149" s="371"/>
      <c r="E149" s="371"/>
      <c r="F149" s="373"/>
      <c r="G149" s="374"/>
    </row>
    <row r="150" spans="1:7" s="21" customFormat="1" ht="12" x14ac:dyDescent="0.25">
      <c r="A150" s="98"/>
      <c r="B150" s="96"/>
      <c r="C150" s="97"/>
      <c r="D150" s="96"/>
      <c r="E150" s="55"/>
      <c r="F150" s="53"/>
      <c r="G150" s="16"/>
    </row>
    <row r="151" spans="1:7" s="21" customFormat="1" ht="12" x14ac:dyDescent="0.25">
      <c r="A151" s="370"/>
      <c r="B151" s="371"/>
      <c r="C151" s="372"/>
      <c r="D151" s="371"/>
      <c r="E151" s="371"/>
      <c r="F151" s="373"/>
      <c r="G151" s="374"/>
    </row>
    <row r="152" spans="1:7" s="21" customFormat="1" ht="12" x14ac:dyDescent="0.25">
      <c r="A152" s="1"/>
      <c r="B152" s="2"/>
      <c r="C152" s="3"/>
      <c r="D152" s="2"/>
      <c r="E152" s="49"/>
      <c r="F152" s="53"/>
      <c r="G152" s="16"/>
    </row>
    <row r="153" spans="1:7" s="21" customFormat="1" ht="12" x14ac:dyDescent="0.25">
      <c r="A153" s="370"/>
      <c r="B153" s="371"/>
      <c r="C153" s="372"/>
      <c r="D153" s="371"/>
      <c r="E153" s="371"/>
      <c r="F153" s="373"/>
      <c r="G153" s="374"/>
    </row>
    <row r="154" spans="1:7" s="21" customFormat="1" ht="12" x14ac:dyDescent="0.25">
      <c r="A154" s="1"/>
      <c r="B154" s="2"/>
      <c r="C154" s="3"/>
      <c r="D154" s="2"/>
      <c r="E154" s="49"/>
      <c r="F154" s="53"/>
      <c r="G154" s="16"/>
    </row>
    <row r="155" spans="1:7" s="21" customFormat="1" ht="12" x14ac:dyDescent="0.25">
      <c r="A155" s="370"/>
      <c r="B155" s="371"/>
      <c r="C155" s="372"/>
      <c r="D155" s="371"/>
      <c r="E155" s="371"/>
      <c r="F155" s="373"/>
      <c r="G155" s="374"/>
    </row>
    <row r="156" spans="1:7" s="21" customFormat="1" ht="12" x14ac:dyDescent="0.25">
      <c r="A156" s="1"/>
      <c r="B156" s="2"/>
      <c r="C156" s="3"/>
      <c r="D156" s="2"/>
      <c r="E156" s="49"/>
      <c r="F156" s="53"/>
      <c r="G156" s="16"/>
    </row>
    <row r="157" spans="1:7" s="21" customFormat="1" ht="12" x14ac:dyDescent="0.25">
      <c r="A157" s="370"/>
      <c r="B157" s="371"/>
      <c r="C157" s="372"/>
      <c r="D157" s="371"/>
      <c r="E157" s="371"/>
      <c r="F157" s="373"/>
      <c r="G157" s="374"/>
    </row>
    <row r="158" spans="1:7" s="21" customFormat="1" ht="12" x14ac:dyDescent="0.25">
      <c r="A158" s="1"/>
      <c r="B158" s="2"/>
      <c r="C158" s="3"/>
      <c r="D158" s="2"/>
      <c r="E158" s="49"/>
      <c r="F158" s="53"/>
      <c r="G158" s="16"/>
    </row>
    <row r="159" spans="1:7" s="21" customFormat="1" ht="12" x14ac:dyDescent="0.25">
      <c r="A159" s="370"/>
      <c r="B159" s="371"/>
      <c r="C159" s="372"/>
      <c r="D159" s="371"/>
      <c r="E159" s="371"/>
      <c r="F159" s="373"/>
      <c r="G159" s="374"/>
    </row>
    <row r="160" spans="1:7" s="21" customFormat="1" ht="12" x14ac:dyDescent="0.25">
      <c r="A160" s="1"/>
      <c r="B160" s="2"/>
      <c r="C160" s="3"/>
      <c r="D160" s="2"/>
      <c r="E160" s="49"/>
      <c r="F160" s="53"/>
      <c r="G160" s="16"/>
    </row>
    <row r="161" spans="1:7" s="21" customFormat="1" ht="12" x14ac:dyDescent="0.25">
      <c r="A161" s="370"/>
      <c r="B161" s="371"/>
      <c r="C161" s="372"/>
      <c r="D161" s="371"/>
      <c r="E161" s="371"/>
      <c r="F161" s="373"/>
      <c r="G161" s="374"/>
    </row>
    <row r="162" spans="1:7" s="21" customFormat="1" ht="12" x14ac:dyDescent="0.25">
      <c r="A162" s="1"/>
      <c r="B162" s="2"/>
      <c r="C162" s="3"/>
      <c r="D162" s="2"/>
      <c r="E162" s="49"/>
      <c r="F162" s="53"/>
      <c r="G162" s="16"/>
    </row>
    <row r="163" spans="1:7" s="21" customFormat="1" ht="12" x14ac:dyDescent="0.25">
      <c r="A163" s="370"/>
      <c r="B163" s="371"/>
      <c r="C163" s="372"/>
      <c r="D163" s="371"/>
      <c r="E163" s="371"/>
      <c r="F163" s="373"/>
      <c r="G163" s="374"/>
    </row>
    <row r="164" spans="1:7" s="21" customFormat="1" ht="12" x14ac:dyDescent="0.25">
      <c r="A164" s="559"/>
      <c r="B164" s="560"/>
      <c r="C164" s="561"/>
      <c r="D164" s="560"/>
      <c r="E164" s="560"/>
      <c r="F164" s="562"/>
      <c r="G164" s="563"/>
    </row>
    <row r="165" spans="1:7" s="21" customFormat="1" ht="12" x14ac:dyDescent="0.25">
      <c r="A165" s="370"/>
      <c r="B165" s="371"/>
      <c r="C165" s="372"/>
      <c r="D165" s="371"/>
      <c r="E165" s="371"/>
      <c r="F165" s="373"/>
      <c r="G165" s="374"/>
    </row>
    <row r="166" spans="1:7" s="21" customFormat="1" ht="12" x14ac:dyDescent="0.25">
      <c r="A166" s="559"/>
      <c r="B166" s="560"/>
      <c r="C166" s="561"/>
      <c r="D166" s="560"/>
      <c r="E166" s="560"/>
      <c r="F166" s="562"/>
      <c r="G166" s="563"/>
    </row>
    <row r="167" spans="1:7" s="21" customFormat="1" ht="12" x14ac:dyDescent="0.25">
      <c r="A167" s="370"/>
      <c r="B167" s="371"/>
      <c r="C167" s="372"/>
      <c r="D167" s="371"/>
      <c r="E167" s="371"/>
      <c r="F167" s="373"/>
      <c r="G167" s="374"/>
    </row>
    <row r="168" spans="1:7" s="21" customFormat="1" ht="12" x14ac:dyDescent="0.25">
      <c r="A168" s="559"/>
      <c r="B168" s="560"/>
      <c r="C168" s="561"/>
      <c r="D168" s="560"/>
      <c r="E168" s="560"/>
      <c r="F168" s="562"/>
      <c r="G168" s="563"/>
    </row>
    <row r="169" spans="1:7" s="21" customFormat="1" ht="12" x14ac:dyDescent="0.25">
      <c r="A169" s="370"/>
      <c r="B169" s="371"/>
      <c r="C169" s="372"/>
      <c r="D169" s="371"/>
      <c r="E169" s="371"/>
      <c r="F169" s="373"/>
      <c r="G169" s="374"/>
    </row>
    <row r="170" spans="1:7" s="21" customFormat="1" ht="12" x14ac:dyDescent="0.25">
      <c r="A170" s="559"/>
      <c r="B170" s="560"/>
      <c r="C170" s="561"/>
      <c r="D170" s="560"/>
      <c r="E170" s="560"/>
      <c r="F170" s="562"/>
      <c r="G170" s="563"/>
    </row>
    <row r="171" spans="1:7" s="21" customFormat="1" ht="12" x14ac:dyDescent="0.25">
      <c r="A171" s="370"/>
      <c r="B171" s="371"/>
      <c r="C171" s="564"/>
      <c r="D171" s="371"/>
      <c r="E171" s="375"/>
      <c r="F171" s="373"/>
      <c r="G171" s="374"/>
    </row>
    <row r="172" spans="1:7" s="21" customFormat="1" ht="12" x14ac:dyDescent="0.25">
      <c r="A172" s="559"/>
      <c r="B172" s="560"/>
      <c r="C172" s="561"/>
      <c r="D172" s="560"/>
      <c r="E172" s="560"/>
      <c r="F172" s="562"/>
      <c r="G172" s="563"/>
    </row>
    <row r="173" spans="1:7" s="21" customFormat="1" ht="12" x14ac:dyDescent="0.25">
      <c r="A173" s="370"/>
      <c r="B173" s="371"/>
      <c r="C173" s="564"/>
      <c r="D173" s="371"/>
      <c r="E173" s="371"/>
      <c r="F173" s="373"/>
      <c r="G173" s="374"/>
    </row>
    <row r="174" spans="1:7" ht="28.5" customHeight="1" x14ac:dyDescent="0.2">
      <c r="A174" s="526" t="s">
        <v>201</v>
      </c>
      <c r="B174" s="526"/>
      <c r="C174" s="526"/>
      <c r="D174" s="526"/>
      <c r="E174" s="526"/>
      <c r="F174" s="526"/>
      <c r="G174" s="85"/>
    </row>
    <row r="175" spans="1:7" s="21" customFormat="1" ht="15" customHeight="1" x14ac:dyDescent="0.25">
      <c r="A175" s="370"/>
      <c r="B175" s="371"/>
      <c r="C175" s="372"/>
      <c r="D175" s="371"/>
      <c r="E175" s="371"/>
      <c r="F175" s="373"/>
      <c r="G175" s="374"/>
    </row>
    <row r="176" spans="1:7" s="21" customFormat="1" ht="24" x14ac:dyDescent="0.25">
      <c r="A176" s="34" t="s">
        <v>120</v>
      </c>
      <c r="B176" s="5">
        <v>8.5</v>
      </c>
      <c r="C176" s="19" t="s">
        <v>62</v>
      </c>
      <c r="D176" s="2"/>
      <c r="E176" s="2"/>
      <c r="F176" s="53"/>
      <c r="G176" s="16"/>
    </row>
    <row r="177" spans="1:7" ht="15" customHeight="1" x14ac:dyDescent="0.2">
      <c r="A177" s="370"/>
      <c r="B177" s="371"/>
      <c r="C177" s="372"/>
      <c r="D177" s="371"/>
      <c r="E177" s="371"/>
      <c r="F177" s="373"/>
      <c r="G177" s="374"/>
    </row>
    <row r="178" spans="1:7" ht="24" x14ac:dyDescent="0.2">
      <c r="A178" s="1" t="s">
        <v>121</v>
      </c>
      <c r="B178" s="2" t="s">
        <v>193</v>
      </c>
      <c r="C178" s="3" t="s">
        <v>63</v>
      </c>
      <c r="D178" s="2" t="s">
        <v>64</v>
      </c>
      <c r="E178" s="55">
        <v>1</v>
      </c>
      <c r="F178" s="70">
        <f>7500*15</f>
        <v>112500</v>
      </c>
      <c r="G178" s="16">
        <f>ROUND(E178*F178,2)</f>
        <v>112500</v>
      </c>
    </row>
    <row r="179" spans="1:7" ht="15" customHeight="1" x14ac:dyDescent="0.2">
      <c r="A179" s="370"/>
      <c r="B179" s="371"/>
      <c r="C179" s="372"/>
      <c r="D179" s="371"/>
      <c r="E179" s="371"/>
      <c r="F179" s="373"/>
      <c r="G179" s="374"/>
    </row>
    <row r="180" spans="1:7" ht="15" customHeight="1" x14ac:dyDescent="0.2">
      <c r="A180" s="1" t="s">
        <v>122</v>
      </c>
      <c r="B180" s="2"/>
      <c r="C180" s="3" t="s">
        <v>145</v>
      </c>
      <c r="D180" s="2" t="s">
        <v>65</v>
      </c>
      <c r="E180" s="49">
        <f>G178</f>
        <v>112500</v>
      </c>
      <c r="F180" s="79"/>
      <c r="G180" s="16"/>
    </row>
    <row r="181" spans="1:7" ht="15" customHeight="1" x14ac:dyDescent="0.2">
      <c r="A181" s="370"/>
      <c r="B181" s="371"/>
      <c r="C181" s="372"/>
      <c r="D181" s="371"/>
      <c r="E181" s="371"/>
      <c r="F181" s="373"/>
      <c r="G181" s="374"/>
    </row>
    <row r="182" spans="1:7" ht="24" x14ac:dyDescent="0.2">
      <c r="A182" s="1" t="s">
        <v>123</v>
      </c>
      <c r="B182" s="112" t="s">
        <v>252</v>
      </c>
      <c r="C182" s="3" t="s">
        <v>66</v>
      </c>
      <c r="D182" s="2" t="s">
        <v>64</v>
      </c>
      <c r="E182" s="55">
        <v>1</v>
      </c>
      <c r="F182" s="70">
        <f>5000*15</f>
        <v>75000</v>
      </c>
      <c r="G182" s="16">
        <f>ROUND(E182*F182,2)</f>
        <v>75000</v>
      </c>
    </row>
    <row r="183" spans="1:7" ht="15" customHeight="1" x14ac:dyDescent="0.2">
      <c r="A183" s="370"/>
      <c r="B183" s="371"/>
      <c r="C183" s="372"/>
      <c r="D183" s="371"/>
      <c r="E183" s="371"/>
      <c r="F183" s="373"/>
      <c r="G183" s="374"/>
    </row>
    <row r="184" spans="1:7" ht="15" customHeight="1" x14ac:dyDescent="0.2">
      <c r="A184" s="1" t="s">
        <v>124</v>
      </c>
      <c r="B184" s="2"/>
      <c r="C184" s="3" t="s">
        <v>143</v>
      </c>
      <c r="D184" s="2" t="s">
        <v>65</v>
      </c>
      <c r="E184" s="49">
        <f>G182</f>
        <v>75000</v>
      </c>
      <c r="F184" s="79"/>
      <c r="G184" s="16"/>
    </row>
    <row r="185" spans="1:7" ht="15" customHeight="1" x14ac:dyDescent="0.2">
      <c r="A185" s="370"/>
      <c r="B185" s="371"/>
      <c r="C185" s="372"/>
      <c r="D185" s="371"/>
      <c r="E185" s="371"/>
      <c r="F185" s="373"/>
      <c r="G185" s="374"/>
    </row>
    <row r="186" spans="1:7" ht="24" x14ac:dyDescent="0.2">
      <c r="A186" s="1" t="s">
        <v>125</v>
      </c>
      <c r="B186" s="2" t="s">
        <v>194</v>
      </c>
      <c r="C186" s="113" t="s">
        <v>248</v>
      </c>
      <c r="D186" s="2" t="s">
        <v>64</v>
      </c>
      <c r="E186" s="55">
        <v>1</v>
      </c>
      <c r="F186" s="70">
        <v>125000</v>
      </c>
      <c r="G186" s="16">
        <f>ROUND(E186*F186,2)</f>
        <v>125000</v>
      </c>
    </row>
    <row r="187" spans="1:7" ht="15" customHeight="1" x14ac:dyDescent="0.2">
      <c r="A187" s="370"/>
      <c r="B187" s="371"/>
      <c r="C187" s="372"/>
      <c r="D187" s="371"/>
      <c r="E187" s="371"/>
      <c r="F187" s="373"/>
      <c r="G187" s="374"/>
    </row>
    <row r="188" spans="1:7" ht="15" customHeight="1" x14ac:dyDescent="0.2">
      <c r="A188" s="1" t="s">
        <v>126</v>
      </c>
      <c r="B188" s="2" t="s">
        <v>194</v>
      </c>
      <c r="C188" s="3" t="s">
        <v>142</v>
      </c>
      <c r="D188" s="2" t="s">
        <v>65</v>
      </c>
      <c r="E188" s="49">
        <f>G186</f>
        <v>125000</v>
      </c>
      <c r="F188" s="79"/>
      <c r="G188" s="16"/>
    </row>
    <row r="189" spans="1:7" ht="15" customHeight="1" x14ac:dyDescent="0.2">
      <c r="A189" s="370"/>
      <c r="B189" s="371"/>
      <c r="C189" s="372"/>
      <c r="D189" s="371"/>
      <c r="E189" s="371"/>
      <c r="F189" s="373"/>
      <c r="G189" s="374"/>
    </row>
    <row r="190" spans="1:7" ht="48" x14ac:dyDescent="0.2">
      <c r="A190" s="118" t="s">
        <v>258</v>
      </c>
      <c r="B190" s="105"/>
      <c r="C190" s="113" t="s">
        <v>251</v>
      </c>
      <c r="D190" s="112" t="s">
        <v>250</v>
      </c>
      <c r="E190" s="55">
        <v>1</v>
      </c>
      <c r="F190" s="70">
        <f>E192</f>
        <v>17000000</v>
      </c>
      <c r="G190" s="16">
        <f>ROUND(E190*F190,2)</f>
        <v>17000000</v>
      </c>
    </row>
    <row r="191" spans="1:7" ht="15" customHeight="1" x14ac:dyDescent="0.2">
      <c r="A191" s="370"/>
      <c r="B191" s="371"/>
      <c r="C191" s="372"/>
      <c r="D191" s="371"/>
      <c r="E191" s="371"/>
      <c r="F191" s="373"/>
      <c r="G191" s="374"/>
    </row>
    <row r="192" spans="1:7" ht="12" x14ac:dyDescent="0.2">
      <c r="A192" s="118" t="s">
        <v>259</v>
      </c>
      <c r="B192" s="105"/>
      <c r="C192" s="113" t="s">
        <v>260</v>
      </c>
      <c r="D192" s="2" t="s">
        <v>65</v>
      </c>
      <c r="E192" s="49">
        <v>17000000</v>
      </c>
      <c r="F192" s="79"/>
      <c r="G192" s="16"/>
    </row>
    <row r="193" spans="1:7" ht="15" customHeight="1" x14ac:dyDescent="0.2">
      <c r="A193" s="370"/>
      <c r="B193" s="371"/>
      <c r="C193" s="372"/>
      <c r="D193" s="371"/>
      <c r="E193" s="371"/>
      <c r="F193" s="373"/>
      <c r="G193" s="374"/>
    </row>
    <row r="194" spans="1:7" ht="36" x14ac:dyDescent="0.2">
      <c r="A194" s="118" t="s">
        <v>127</v>
      </c>
      <c r="B194" s="2"/>
      <c r="C194" s="97" t="s">
        <v>229</v>
      </c>
      <c r="D194" s="2" t="s">
        <v>64</v>
      </c>
      <c r="E194" s="55">
        <v>1</v>
      </c>
      <c r="F194" s="70">
        <v>50000</v>
      </c>
      <c r="G194" s="16">
        <f>ROUND(E194*F194,2)</f>
        <v>50000</v>
      </c>
    </row>
    <row r="195" spans="1:7" s="21" customFormat="1" ht="15" customHeight="1" x14ac:dyDescent="0.25">
      <c r="A195" s="370"/>
      <c r="B195" s="371"/>
      <c r="C195" s="372"/>
      <c r="D195" s="371"/>
      <c r="E195" s="371"/>
      <c r="F195" s="373"/>
      <c r="G195" s="374"/>
    </row>
    <row r="196" spans="1:7" ht="15" customHeight="1" x14ac:dyDescent="0.2">
      <c r="A196" s="118" t="s">
        <v>128</v>
      </c>
      <c r="B196" s="2"/>
      <c r="C196" s="113" t="s">
        <v>144</v>
      </c>
      <c r="D196" s="2" t="s">
        <v>65</v>
      </c>
      <c r="E196" s="49">
        <f>G194</f>
        <v>50000</v>
      </c>
      <c r="F196" s="79"/>
      <c r="G196" s="16"/>
    </row>
    <row r="197" spans="1:7" s="21" customFormat="1" ht="15" customHeight="1" x14ac:dyDescent="0.25">
      <c r="A197" s="370"/>
      <c r="B197" s="371"/>
      <c r="C197" s="372"/>
      <c r="D197" s="371"/>
      <c r="E197" s="371"/>
      <c r="F197" s="373"/>
      <c r="G197" s="374"/>
    </row>
    <row r="198" spans="1:7" ht="24" x14ac:dyDescent="0.2">
      <c r="A198" s="118" t="s">
        <v>254</v>
      </c>
      <c r="B198" s="2"/>
      <c r="C198" s="3" t="s">
        <v>67</v>
      </c>
      <c r="D198" s="2" t="s">
        <v>64</v>
      </c>
      <c r="E198" s="55">
        <v>1</v>
      </c>
      <c r="F198" s="70">
        <v>250000</v>
      </c>
      <c r="G198" s="16">
        <f>ROUND(E198*F198,2)</f>
        <v>250000</v>
      </c>
    </row>
    <row r="199" spans="1:7" s="21" customFormat="1" ht="15" customHeight="1" x14ac:dyDescent="0.25">
      <c r="A199" s="370"/>
      <c r="B199" s="371"/>
      <c r="C199" s="372"/>
      <c r="D199" s="371"/>
      <c r="E199" s="371"/>
      <c r="F199" s="373"/>
      <c r="G199" s="374"/>
    </row>
    <row r="200" spans="1:7" ht="15" customHeight="1" x14ac:dyDescent="0.2">
      <c r="A200" s="118" t="s">
        <v>255</v>
      </c>
      <c r="B200" s="2"/>
      <c r="C200" s="113" t="s">
        <v>257</v>
      </c>
      <c r="D200" s="2" t="s">
        <v>65</v>
      </c>
      <c r="E200" s="49">
        <f>G198</f>
        <v>250000</v>
      </c>
      <c r="F200" s="79"/>
      <c r="G200" s="16"/>
    </row>
    <row r="201" spans="1:7" s="21" customFormat="1" ht="15" customHeight="1" x14ac:dyDescent="0.25">
      <c r="A201" s="370"/>
      <c r="B201" s="371"/>
      <c r="C201" s="372"/>
      <c r="D201" s="371"/>
      <c r="E201" s="371"/>
      <c r="F201" s="373"/>
      <c r="G201" s="374"/>
    </row>
    <row r="202" spans="1:7" ht="24" x14ac:dyDescent="0.2">
      <c r="A202" s="118" t="s">
        <v>195</v>
      </c>
      <c r="B202" s="2"/>
      <c r="C202" s="113" t="s">
        <v>253</v>
      </c>
      <c r="D202" s="2" t="s">
        <v>64</v>
      </c>
      <c r="E202" s="55">
        <v>1</v>
      </c>
      <c r="F202" s="70">
        <v>450000</v>
      </c>
      <c r="G202" s="16">
        <f>ROUND(E202*F202,2)</f>
        <v>450000</v>
      </c>
    </row>
    <row r="203" spans="1:7" s="21" customFormat="1" ht="15" customHeight="1" x14ac:dyDescent="0.25">
      <c r="A203" s="370"/>
      <c r="B203" s="371"/>
      <c r="C203" s="372"/>
      <c r="D203" s="371"/>
      <c r="E203" s="371"/>
      <c r="F203" s="373"/>
      <c r="G203" s="374"/>
    </row>
    <row r="204" spans="1:7" ht="15" customHeight="1" x14ac:dyDescent="0.2">
      <c r="A204" s="118" t="s">
        <v>196</v>
      </c>
      <c r="B204" s="2"/>
      <c r="C204" s="113" t="s">
        <v>197</v>
      </c>
      <c r="D204" s="2" t="s">
        <v>65</v>
      </c>
      <c r="E204" s="49">
        <f>G202</f>
        <v>450000</v>
      </c>
      <c r="F204" s="79"/>
      <c r="G204" s="16"/>
    </row>
    <row r="205" spans="1:7" s="21" customFormat="1" ht="15" customHeight="1" x14ac:dyDescent="0.25">
      <c r="A205" s="370"/>
      <c r="B205" s="371"/>
      <c r="C205" s="372"/>
      <c r="D205" s="371"/>
      <c r="E205" s="371"/>
      <c r="F205" s="373"/>
      <c r="G205" s="374"/>
    </row>
    <row r="206" spans="1:7" ht="36" x14ac:dyDescent="0.2">
      <c r="A206" s="118" t="s">
        <v>198</v>
      </c>
      <c r="B206" s="2"/>
      <c r="C206" s="119" t="s">
        <v>256</v>
      </c>
      <c r="D206" s="2" t="s">
        <v>64</v>
      </c>
      <c r="E206" s="55">
        <v>1</v>
      </c>
      <c r="F206" s="70">
        <v>250000</v>
      </c>
      <c r="G206" s="16">
        <f>ROUND(E206*F206,2)</f>
        <v>250000</v>
      </c>
    </row>
    <row r="207" spans="1:7" s="21" customFormat="1" ht="15" customHeight="1" x14ac:dyDescent="0.25">
      <c r="A207" s="370"/>
      <c r="B207" s="371"/>
      <c r="C207" s="372"/>
      <c r="D207" s="371"/>
      <c r="E207" s="371"/>
      <c r="F207" s="373"/>
      <c r="G207" s="374"/>
    </row>
    <row r="208" spans="1:7" ht="12" x14ac:dyDescent="0.2">
      <c r="A208" s="118" t="s">
        <v>199</v>
      </c>
      <c r="B208" s="2"/>
      <c r="C208" s="113" t="s">
        <v>200</v>
      </c>
      <c r="D208" s="2" t="s">
        <v>65</v>
      </c>
      <c r="E208" s="49">
        <f>G206</f>
        <v>250000</v>
      </c>
      <c r="F208" s="79"/>
      <c r="G208" s="16"/>
    </row>
    <row r="209" spans="1:7" ht="15" customHeight="1" x14ac:dyDescent="0.2">
      <c r="A209" s="370"/>
      <c r="B209" s="371"/>
      <c r="C209" s="372"/>
      <c r="D209" s="371"/>
      <c r="E209" s="371"/>
      <c r="F209" s="373"/>
      <c r="G209" s="374"/>
    </row>
    <row r="210" spans="1:7" ht="15" customHeight="1" x14ac:dyDescent="0.2">
      <c r="A210" s="1"/>
      <c r="B210" s="2"/>
      <c r="C210" s="37"/>
      <c r="D210" s="2"/>
      <c r="E210" s="2"/>
      <c r="F210" s="53"/>
      <c r="G210" s="16"/>
    </row>
    <row r="211" spans="1:7" ht="28.5" customHeight="1" x14ac:dyDescent="0.2">
      <c r="A211" s="526" t="s">
        <v>211</v>
      </c>
      <c r="B211" s="526"/>
      <c r="C211" s="526"/>
      <c r="D211" s="526"/>
      <c r="E211" s="526"/>
      <c r="F211" s="526"/>
      <c r="G211" s="17"/>
    </row>
    <row r="212" spans="1:7" ht="15" customHeight="1" x14ac:dyDescent="0.2">
      <c r="A212" s="370"/>
      <c r="B212" s="371"/>
      <c r="C212" s="372"/>
      <c r="D212" s="371"/>
      <c r="E212" s="371"/>
      <c r="F212" s="373"/>
      <c r="G212" s="374"/>
    </row>
    <row r="213" spans="1:7" ht="15" customHeight="1" x14ac:dyDescent="0.2">
      <c r="A213" s="22" t="s">
        <v>129</v>
      </c>
      <c r="B213" s="23"/>
      <c r="C213" s="24" t="s">
        <v>70</v>
      </c>
      <c r="D213" s="23"/>
      <c r="E213" s="2"/>
      <c r="F213" s="53"/>
      <c r="G213" s="28"/>
    </row>
    <row r="214" spans="1:7" ht="14.1" customHeight="1" x14ac:dyDescent="0.2">
      <c r="A214" s="370"/>
      <c r="B214" s="371"/>
      <c r="C214" s="372"/>
      <c r="D214" s="371"/>
      <c r="E214" s="375"/>
      <c r="F214" s="376"/>
      <c r="G214" s="374"/>
    </row>
    <row r="215" spans="1:7" ht="15" customHeight="1" x14ac:dyDescent="0.2">
      <c r="A215" s="25" t="s">
        <v>1133</v>
      </c>
      <c r="B215" s="18"/>
      <c r="C215" s="10" t="s">
        <v>219</v>
      </c>
      <c r="D215" s="18" t="s">
        <v>71</v>
      </c>
      <c r="E215" s="107">
        <v>20</v>
      </c>
      <c r="F215" s="53"/>
      <c r="G215" s="16"/>
    </row>
    <row r="216" spans="1:7" ht="14.1" customHeight="1" x14ac:dyDescent="0.2">
      <c r="A216" s="370"/>
      <c r="B216" s="371"/>
      <c r="C216" s="372"/>
      <c r="D216" s="371"/>
      <c r="E216" s="375"/>
      <c r="F216" s="376"/>
      <c r="G216" s="374"/>
    </row>
    <row r="217" spans="1:7" ht="15" customHeight="1" x14ac:dyDescent="0.2">
      <c r="A217" s="25" t="s">
        <v>1134</v>
      </c>
      <c r="B217" s="18"/>
      <c r="C217" s="10" t="s">
        <v>221</v>
      </c>
      <c r="D217" s="18" t="s">
        <v>71</v>
      </c>
      <c r="E217" s="107">
        <v>20</v>
      </c>
      <c r="F217" s="53"/>
      <c r="G217" s="16"/>
    </row>
    <row r="218" spans="1:7" ht="14.1" customHeight="1" x14ac:dyDescent="0.2">
      <c r="A218" s="370"/>
      <c r="B218" s="371"/>
      <c r="C218" s="372"/>
      <c r="D218" s="371"/>
      <c r="E218" s="375"/>
      <c r="F218" s="376"/>
      <c r="G218" s="374"/>
    </row>
    <row r="219" spans="1:7" ht="15" customHeight="1" x14ac:dyDescent="0.2">
      <c r="A219" s="25" t="s">
        <v>1135</v>
      </c>
      <c r="B219" s="18"/>
      <c r="C219" s="10" t="s">
        <v>222</v>
      </c>
      <c r="D219" s="18" t="s">
        <v>71</v>
      </c>
      <c r="E219" s="107">
        <v>60</v>
      </c>
      <c r="F219" s="53"/>
      <c r="G219" s="16"/>
    </row>
    <row r="220" spans="1:7" ht="14.1" customHeight="1" x14ac:dyDescent="0.2">
      <c r="A220" s="370"/>
      <c r="B220" s="371"/>
      <c r="C220" s="372"/>
      <c r="D220" s="371"/>
      <c r="E220" s="375"/>
      <c r="F220" s="376"/>
      <c r="G220" s="374"/>
    </row>
    <row r="221" spans="1:7" ht="15" customHeight="1" x14ac:dyDescent="0.2">
      <c r="A221" s="25" t="s">
        <v>1136</v>
      </c>
      <c r="B221" s="18"/>
      <c r="C221" s="10" t="s">
        <v>90</v>
      </c>
      <c r="D221" s="18" t="s">
        <v>71</v>
      </c>
      <c r="E221" s="107">
        <v>80</v>
      </c>
      <c r="F221" s="53"/>
      <c r="G221" s="16"/>
    </row>
    <row r="222" spans="1:7" ht="14.1" customHeight="1" x14ac:dyDescent="0.2">
      <c r="A222" s="370"/>
      <c r="B222" s="371"/>
      <c r="C222" s="372"/>
      <c r="D222" s="371"/>
      <c r="E222" s="375"/>
      <c r="F222" s="376"/>
      <c r="G222" s="374"/>
    </row>
    <row r="223" spans="1:7" ht="15" customHeight="1" x14ac:dyDescent="0.2">
      <c r="A223" s="25" t="s">
        <v>1137</v>
      </c>
      <c r="B223" s="18"/>
      <c r="C223" s="10" t="s">
        <v>217</v>
      </c>
      <c r="D223" s="18" t="s">
        <v>71</v>
      </c>
      <c r="E223" s="107">
        <v>30</v>
      </c>
      <c r="F223" s="53"/>
      <c r="G223" s="16"/>
    </row>
    <row r="224" spans="1:7" ht="14.1" customHeight="1" x14ac:dyDescent="0.2">
      <c r="A224" s="370"/>
      <c r="B224" s="371"/>
      <c r="C224" s="372"/>
      <c r="D224" s="371"/>
      <c r="E224" s="375"/>
      <c r="F224" s="376"/>
      <c r="G224" s="374"/>
    </row>
    <row r="225" spans="1:7" ht="15" customHeight="1" x14ac:dyDescent="0.2">
      <c r="A225" s="25" t="s">
        <v>1138</v>
      </c>
      <c r="B225" s="18"/>
      <c r="C225" s="10" t="s">
        <v>224</v>
      </c>
      <c r="D225" s="18" t="s">
        <v>71</v>
      </c>
      <c r="E225" s="99">
        <v>80</v>
      </c>
      <c r="F225" s="53"/>
      <c r="G225" s="16"/>
    </row>
    <row r="226" spans="1:7" ht="14.1" customHeight="1" x14ac:dyDescent="0.2">
      <c r="A226" s="370"/>
      <c r="B226" s="371"/>
      <c r="C226" s="372"/>
      <c r="D226" s="371"/>
      <c r="E226" s="375"/>
      <c r="F226" s="376"/>
      <c r="G226" s="374"/>
    </row>
    <row r="227" spans="1:7" ht="15" customHeight="1" x14ac:dyDescent="0.2">
      <c r="A227" s="25" t="s">
        <v>1139</v>
      </c>
      <c r="B227" s="18"/>
      <c r="C227" s="10" t="s">
        <v>220</v>
      </c>
      <c r="D227" s="18" t="s">
        <v>71</v>
      </c>
      <c r="E227" s="107">
        <v>40</v>
      </c>
      <c r="F227" s="53"/>
      <c r="G227" s="16"/>
    </row>
    <row r="228" spans="1:7" ht="14.1" customHeight="1" x14ac:dyDescent="0.2">
      <c r="A228" s="370"/>
      <c r="B228" s="371"/>
      <c r="C228" s="372"/>
      <c r="D228" s="371"/>
      <c r="E228" s="375"/>
      <c r="F228" s="376"/>
      <c r="G228" s="374"/>
    </row>
    <row r="229" spans="1:7" ht="15" customHeight="1" x14ac:dyDescent="0.2">
      <c r="A229" s="25" t="s">
        <v>1140</v>
      </c>
      <c r="B229" s="18"/>
      <c r="C229" s="10" t="s">
        <v>72</v>
      </c>
      <c r="D229" s="18" t="s">
        <v>20</v>
      </c>
      <c r="E229" s="107">
        <v>350</v>
      </c>
      <c r="F229" s="53"/>
      <c r="G229" s="16"/>
    </row>
    <row r="230" spans="1:7" ht="14.1" customHeight="1" x14ac:dyDescent="0.2">
      <c r="A230" s="370"/>
      <c r="B230" s="371"/>
      <c r="C230" s="372"/>
      <c r="D230" s="371"/>
      <c r="E230" s="375"/>
      <c r="F230" s="376"/>
      <c r="G230" s="374"/>
    </row>
    <row r="231" spans="1:7" ht="15" customHeight="1" x14ac:dyDescent="0.2">
      <c r="A231" s="25" t="s">
        <v>1141</v>
      </c>
      <c r="B231" s="18"/>
      <c r="C231" s="10" t="s">
        <v>76</v>
      </c>
      <c r="D231" s="18" t="s">
        <v>20</v>
      </c>
      <c r="E231" s="107">
        <v>350</v>
      </c>
      <c r="F231" s="53"/>
      <c r="G231" s="16"/>
    </row>
    <row r="232" spans="1:7" s="21" customFormat="1" ht="14.1" customHeight="1" x14ac:dyDescent="0.25">
      <c r="A232" s="370"/>
      <c r="B232" s="371"/>
      <c r="C232" s="372"/>
      <c r="D232" s="371"/>
      <c r="E232" s="375"/>
      <c r="F232" s="376"/>
      <c r="G232" s="374"/>
    </row>
    <row r="233" spans="1:7" ht="15" customHeight="1" x14ac:dyDescent="0.2">
      <c r="A233" s="25" t="s">
        <v>1142</v>
      </c>
      <c r="B233" s="18"/>
      <c r="C233" s="10" t="s">
        <v>154</v>
      </c>
      <c r="D233" s="18" t="s">
        <v>155</v>
      </c>
      <c r="E233" s="107">
        <v>20</v>
      </c>
      <c r="F233" s="53"/>
      <c r="G233" s="16"/>
    </row>
    <row r="234" spans="1:7" ht="12" x14ac:dyDescent="0.2">
      <c r="A234" s="370"/>
      <c r="B234" s="371"/>
      <c r="C234" s="372"/>
      <c r="D234" s="371"/>
      <c r="E234" s="375"/>
      <c r="F234" s="376"/>
      <c r="G234" s="374"/>
    </row>
    <row r="235" spans="1:7" ht="12" x14ac:dyDescent="0.2">
      <c r="A235" s="25" t="s">
        <v>1143</v>
      </c>
      <c r="B235" s="18"/>
      <c r="C235" s="10" t="s">
        <v>218</v>
      </c>
      <c r="D235" s="18" t="s">
        <v>155</v>
      </c>
      <c r="E235" s="107">
        <v>35</v>
      </c>
      <c r="F235" s="53"/>
      <c r="G235" s="16"/>
    </row>
    <row r="236" spans="1:7" ht="12" x14ac:dyDescent="0.2">
      <c r="A236" s="370"/>
      <c r="B236" s="371"/>
      <c r="C236" s="372"/>
      <c r="D236" s="371"/>
      <c r="E236" s="375"/>
      <c r="F236" s="376"/>
      <c r="G236" s="374"/>
    </row>
    <row r="237" spans="1:7" ht="12" x14ac:dyDescent="0.2">
      <c r="A237" s="25" t="s">
        <v>1144</v>
      </c>
      <c r="B237" s="18"/>
      <c r="C237" s="10" t="s">
        <v>223</v>
      </c>
      <c r="D237" s="18" t="s">
        <v>155</v>
      </c>
      <c r="E237" s="107">
        <v>20</v>
      </c>
      <c r="F237" s="53"/>
      <c r="G237" s="16"/>
    </row>
    <row r="238" spans="1:7" ht="12" x14ac:dyDescent="0.2">
      <c r="A238" s="370"/>
      <c r="B238" s="371"/>
      <c r="C238" s="372"/>
      <c r="D238" s="371"/>
      <c r="E238" s="375"/>
      <c r="F238" s="376"/>
      <c r="G238" s="374"/>
    </row>
    <row r="239" spans="1:7" ht="12" x14ac:dyDescent="0.2">
      <c r="A239" s="22" t="s">
        <v>1145</v>
      </c>
      <c r="B239" s="23">
        <v>8.6999999999999993</v>
      </c>
      <c r="C239" s="24" t="s">
        <v>73</v>
      </c>
      <c r="D239" s="18"/>
      <c r="E239" s="107"/>
      <c r="F239" s="53"/>
      <c r="G239" s="28"/>
    </row>
    <row r="240" spans="1:7" ht="12" x14ac:dyDescent="0.2">
      <c r="A240" s="370"/>
      <c r="B240" s="371"/>
      <c r="C240" s="372"/>
      <c r="D240" s="371"/>
      <c r="E240" s="375"/>
      <c r="F240" s="376"/>
      <c r="G240" s="374"/>
    </row>
    <row r="241" spans="1:7" s="21" customFormat="1" ht="12" x14ac:dyDescent="0.25">
      <c r="A241" s="25" t="s">
        <v>1146</v>
      </c>
      <c r="B241" s="18"/>
      <c r="C241" s="10" t="s">
        <v>225</v>
      </c>
      <c r="D241" s="18" t="s">
        <v>71</v>
      </c>
      <c r="E241" s="107">
        <v>60</v>
      </c>
      <c r="F241" s="53"/>
      <c r="G241" s="16"/>
    </row>
    <row r="242" spans="1:7" ht="12" x14ac:dyDescent="0.2">
      <c r="A242" s="370"/>
      <c r="B242" s="371"/>
      <c r="C242" s="372"/>
      <c r="D242" s="371"/>
      <c r="E242" s="375"/>
      <c r="F242" s="376"/>
      <c r="G242" s="374"/>
    </row>
    <row r="243" spans="1:7" s="21" customFormat="1" ht="12" x14ac:dyDescent="0.25">
      <c r="A243" s="25" t="s">
        <v>1147</v>
      </c>
      <c r="B243" s="18"/>
      <c r="C243" s="10" t="s">
        <v>226</v>
      </c>
      <c r="D243" s="18" t="s">
        <v>71</v>
      </c>
      <c r="E243" s="107">
        <v>80</v>
      </c>
      <c r="F243" s="53"/>
      <c r="G243" s="16"/>
    </row>
    <row r="244" spans="1:7" ht="12" x14ac:dyDescent="0.2">
      <c r="A244" s="370"/>
      <c r="B244" s="371"/>
      <c r="C244" s="372"/>
      <c r="D244" s="371"/>
      <c r="E244" s="375"/>
      <c r="F244" s="376"/>
      <c r="G244" s="374"/>
    </row>
    <row r="245" spans="1:7" s="21" customFormat="1" ht="12" x14ac:dyDescent="0.25">
      <c r="A245" s="25" t="s">
        <v>1148</v>
      </c>
      <c r="B245" s="18"/>
      <c r="C245" s="10" t="s">
        <v>74</v>
      </c>
      <c r="D245" s="18" t="s">
        <v>71</v>
      </c>
      <c r="E245" s="107">
        <v>200</v>
      </c>
      <c r="F245" s="53"/>
      <c r="G245" s="16"/>
    </row>
    <row r="246" spans="1:7" ht="14.1" customHeight="1" x14ac:dyDescent="0.2">
      <c r="A246" s="370"/>
      <c r="B246" s="371"/>
      <c r="C246" s="372"/>
      <c r="D246" s="371"/>
      <c r="E246" s="375"/>
      <c r="F246" s="376"/>
      <c r="G246" s="374"/>
    </row>
    <row r="247" spans="1:7" ht="15" customHeight="1" x14ac:dyDescent="0.2">
      <c r="A247" s="25" t="s">
        <v>1149</v>
      </c>
      <c r="B247" s="18"/>
      <c r="C247" s="10" t="s">
        <v>228</v>
      </c>
      <c r="D247" s="18" t="s">
        <v>71</v>
      </c>
      <c r="E247" s="107">
        <v>100</v>
      </c>
      <c r="F247" s="53"/>
      <c r="G247" s="16"/>
    </row>
    <row r="248" spans="1:7" ht="12" x14ac:dyDescent="0.2">
      <c r="A248" s="370"/>
      <c r="B248" s="371"/>
      <c r="C248" s="372"/>
      <c r="D248" s="371"/>
      <c r="E248" s="375"/>
      <c r="F248" s="376"/>
      <c r="G248" s="374"/>
    </row>
    <row r="249" spans="1:7" ht="12" x14ac:dyDescent="0.2">
      <c r="A249" s="25" t="s">
        <v>1150</v>
      </c>
      <c r="B249" s="18"/>
      <c r="C249" s="10" t="s">
        <v>227</v>
      </c>
      <c r="D249" s="18" t="s">
        <v>71</v>
      </c>
      <c r="E249" s="107">
        <v>10</v>
      </c>
      <c r="F249" s="53"/>
      <c r="G249" s="16"/>
    </row>
    <row r="250" spans="1:7" ht="12" x14ac:dyDescent="0.2">
      <c r="A250" s="370"/>
      <c r="B250" s="371"/>
      <c r="C250" s="372"/>
      <c r="D250" s="371"/>
      <c r="E250" s="375"/>
      <c r="F250" s="376"/>
      <c r="G250" s="374"/>
    </row>
    <row r="251" spans="1:7" ht="12" x14ac:dyDescent="0.2">
      <c r="A251" s="559"/>
      <c r="B251" s="560"/>
      <c r="C251" s="561"/>
      <c r="D251" s="560"/>
      <c r="E251" s="565"/>
      <c r="F251" s="566"/>
      <c r="G251" s="563"/>
    </row>
    <row r="252" spans="1:7" ht="12" x14ac:dyDescent="0.2">
      <c r="A252" s="370"/>
      <c r="B252" s="371"/>
      <c r="C252" s="372"/>
      <c r="D252" s="371"/>
      <c r="E252" s="375"/>
      <c r="F252" s="376"/>
      <c r="G252" s="374"/>
    </row>
    <row r="253" spans="1:7" ht="12" x14ac:dyDescent="0.2">
      <c r="A253" s="559"/>
      <c r="B253" s="560"/>
      <c r="C253" s="561"/>
      <c r="D253" s="560"/>
      <c r="E253" s="565"/>
      <c r="F253" s="566"/>
      <c r="G253" s="563"/>
    </row>
    <row r="254" spans="1:7" ht="12" x14ac:dyDescent="0.2">
      <c r="A254" s="370"/>
      <c r="B254" s="371"/>
      <c r="C254" s="372"/>
      <c r="D254" s="371"/>
      <c r="E254" s="375"/>
      <c r="F254" s="376"/>
      <c r="G254" s="374"/>
    </row>
    <row r="255" spans="1:7" ht="12" x14ac:dyDescent="0.2">
      <c r="A255" s="559"/>
      <c r="B255" s="560"/>
      <c r="C255" s="561"/>
      <c r="D255" s="560"/>
      <c r="E255" s="565"/>
      <c r="F255" s="566"/>
      <c r="G255" s="563"/>
    </row>
    <row r="256" spans="1:7" ht="12" x14ac:dyDescent="0.2">
      <c r="A256" s="370"/>
      <c r="B256" s="371"/>
      <c r="C256" s="372"/>
      <c r="D256" s="371"/>
      <c r="E256" s="375"/>
      <c r="F256" s="376"/>
      <c r="G256" s="374"/>
    </row>
    <row r="257" spans="1:7" ht="12" x14ac:dyDescent="0.2">
      <c r="A257" s="25"/>
      <c r="B257" s="18"/>
      <c r="C257" s="10"/>
      <c r="D257" s="18"/>
      <c r="E257" s="107"/>
      <c r="F257" s="53"/>
      <c r="G257" s="16"/>
    </row>
    <row r="258" spans="1:7" ht="12" x14ac:dyDescent="0.2">
      <c r="A258" s="370"/>
      <c r="B258" s="371"/>
      <c r="C258" s="372"/>
      <c r="D258" s="371"/>
      <c r="E258" s="375"/>
      <c r="F258" s="376"/>
      <c r="G258" s="374"/>
    </row>
    <row r="259" spans="1:7" ht="12" x14ac:dyDescent="0.2">
      <c r="A259" s="25"/>
      <c r="B259" s="18"/>
      <c r="C259" s="10"/>
      <c r="D259" s="18"/>
      <c r="E259" s="107"/>
      <c r="F259" s="53"/>
      <c r="G259" s="16"/>
    </row>
    <row r="260" spans="1:7" ht="12" x14ac:dyDescent="0.2">
      <c r="A260" s="370"/>
      <c r="B260" s="371"/>
      <c r="C260" s="372"/>
      <c r="D260" s="371"/>
      <c r="E260" s="375"/>
      <c r="F260" s="376"/>
      <c r="G260" s="374"/>
    </row>
    <row r="261" spans="1:7" ht="12" x14ac:dyDescent="0.2">
      <c r="A261" s="25"/>
      <c r="B261" s="18"/>
      <c r="C261" s="10"/>
      <c r="D261" s="18"/>
      <c r="E261" s="107"/>
      <c r="F261" s="53"/>
      <c r="G261" s="16"/>
    </row>
    <row r="262" spans="1:7" s="21" customFormat="1" ht="12" x14ac:dyDescent="0.25">
      <c r="A262" s="370"/>
      <c r="B262" s="371"/>
      <c r="C262" s="372"/>
      <c r="D262" s="371"/>
      <c r="E262" s="375"/>
      <c r="F262" s="376"/>
      <c r="G262" s="374"/>
    </row>
    <row r="263" spans="1:7" ht="28.5" customHeight="1" x14ac:dyDescent="0.2">
      <c r="A263" s="526" t="s">
        <v>212</v>
      </c>
      <c r="B263" s="526"/>
      <c r="C263" s="526"/>
      <c r="D263" s="526"/>
      <c r="E263" s="526"/>
      <c r="F263" s="526"/>
      <c r="G263" s="85"/>
    </row>
    <row r="264" spans="1:7" s="21" customFormat="1" ht="15" customHeight="1" x14ac:dyDescent="0.25">
      <c r="A264" s="370"/>
      <c r="B264" s="371"/>
      <c r="C264" s="372"/>
      <c r="D264" s="371"/>
      <c r="E264" s="375"/>
      <c r="F264" s="376"/>
      <c r="G264" s="374"/>
    </row>
    <row r="265" spans="1:7" ht="15" customHeight="1" x14ac:dyDescent="0.2">
      <c r="A265" s="34" t="s">
        <v>130</v>
      </c>
      <c r="B265" s="5">
        <v>8.8000000000000007</v>
      </c>
      <c r="C265" s="19" t="s">
        <v>68</v>
      </c>
      <c r="D265" s="2"/>
      <c r="E265" s="49" t="s">
        <v>29</v>
      </c>
      <c r="F265" s="70"/>
      <c r="G265" s="40"/>
    </row>
    <row r="266" spans="1:7" s="21" customFormat="1" ht="15" customHeight="1" x14ac:dyDescent="0.25">
      <c r="A266" s="370"/>
      <c r="B266" s="371"/>
      <c r="C266" s="372"/>
      <c r="D266" s="371"/>
      <c r="E266" s="375"/>
      <c r="F266" s="376"/>
      <c r="G266" s="374"/>
    </row>
    <row r="267" spans="1:7" ht="24" x14ac:dyDescent="0.2">
      <c r="A267" s="1" t="s">
        <v>131</v>
      </c>
      <c r="B267" s="112" t="s">
        <v>261</v>
      </c>
      <c r="C267" s="113" t="s">
        <v>78</v>
      </c>
      <c r="D267" s="2" t="s">
        <v>28</v>
      </c>
      <c r="E267" s="55">
        <v>1</v>
      </c>
      <c r="F267" s="70"/>
      <c r="G267" s="16"/>
    </row>
    <row r="268" spans="1:7" s="21" customFormat="1" ht="15" customHeight="1" x14ac:dyDescent="0.25">
      <c r="A268" s="370"/>
      <c r="B268" s="371"/>
      <c r="C268" s="372"/>
      <c r="D268" s="371"/>
      <c r="E268" s="375"/>
      <c r="F268" s="376"/>
      <c r="G268" s="374"/>
    </row>
    <row r="269" spans="1:7" ht="13.15" customHeight="1" x14ac:dyDescent="0.2">
      <c r="A269" s="1" t="s">
        <v>132</v>
      </c>
      <c r="B269" s="2" t="s">
        <v>69</v>
      </c>
      <c r="C269" s="3" t="s">
        <v>82</v>
      </c>
      <c r="D269" s="2" t="s">
        <v>28</v>
      </c>
      <c r="E269" s="55">
        <v>1</v>
      </c>
      <c r="F269" s="70"/>
      <c r="G269" s="16"/>
    </row>
    <row r="270" spans="1:7" ht="15" customHeight="1" x14ac:dyDescent="0.2">
      <c r="A270" s="370"/>
      <c r="B270" s="371"/>
      <c r="C270" s="372"/>
      <c r="D270" s="371"/>
      <c r="E270" s="375"/>
      <c r="F270" s="376"/>
      <c r="G270" s="374"/>
    </row>
    <row r="271" spans="1:7" ht="48" x14ac:dyDescent="0.2">
      <c r="A271" s="118" t="s">
        <v>1151</v>
      </c>
      <c r="B271" s="2" t="s">
        <v>202</v>
      </c>
      <c r="C271" s="113" t="s">
        <v>262</v>
      </c>
      <c r="D271" s="2" t="s">
        <v>88</v>
      </c>
      <c r="E271" s="55">
        <v>150</v>
      </c>
      <c r="F271" s="70"/>
      <c r="G271" s="16"/>
    </row>
    <row r="272" spans="1:7" s="21" customFormat="1" ht="15" customHeight="1" x14ac:dyDescent="0.25">
      <c r="A272" s="370"/>
      <c r="B272" s="371"/>
      <c r="C272" s="372"/>
      <c r="D272" s="371"/>
      <c r="E272" s="375"/>
      <c r="F272" s="376"/>
      <c r="G272" s="374"/>
    </row>
    <row r="273" spans="1:7" ht="15" customHeight="1" x14ac:dyDescent="0.2">
      <c r="A273" s="1"/>
      <c r="B273" s="2"/>
      <c r="C273" s="37"/>
      <c r="D273" s="2"/>
      <c r="E273" s="2"/>
      <c r="F273" s="53"/>
      <c r="G273" s="2"/>
    </row>
    <row r="274" spans="1:7" s="21" customFormat="1" ht="15" customHeight="1" x14ac:dyDescent="0.25">
      <c r="A274" s="370"/>
      <c r="B274" s="371"/>
      <c r="C274" s="372"/>
      <c r="D274" s="371"/>
      <c r="E274" s="375"/>
      <c r="F274" s="376"/>
      <c r="G274" s="374"/>
    </row>
    <row r="275" spans="1:7" ht="15" customHeight="1" x14ac:dyDescent="0.2">
      <c r="A275" s="25"/>
      <c r="B275" s="18"/>
      <c r="C275" s="37"/>
      <c r="D275" s="2"/>
      <c r="E275" s="2"/>
      <c r="F275" s="53"/>
      <c r="G275" s="2"/>
    </row>
    <row r="276" spans="1:7" s="21" customFormat="1" ht="15" customHeight="1" x14ac:dyDescent="0.25">
      <c r="A276" s="370"/>
      <c r="B276" s="371"/>
      <c r="C276" s="372"/>
      <c r="D276" s="371"/>
      <c r="E276" s="375"/>
      <c r="F276" s="376"/>
      <c r="G276" s="374"/>
    </row>
    <row r="277" spans="1:7" ht="11.45" customHeight="1" x14ac:dyDescent="0.2">
      <c r="A277" s="25"/>
      <c r="B277" s="18"/>
      <c r="C277" s="37"/>
      <c r="D277" s="2"/>
      <c r="E277" s="2"/>
      <c r="F277" s="53"/>
      <c r="G277" s="2"/>
    </row>
    <row r="278" spans="1:7" s="21" customFormat="1" ht="15" customHeight="1" x14ac:dyDescent="0.25">
      <c r="A278" s="370"/>
      <c r="B278" s="371"/>
      <c r="C278" s="372"/>
      <c r="D278" s="371"/>
      <c r="E278" s="375"/>
      <c r="F278" s="376"/>
      <c r="G278" s="374"/>
    </row>
    <row r="279" spans="1:7" ht="10.9" customHeight="1" x14ac:dyDescent="0.2">
      <c r="A279" s="25"/>
      <c r="B279" s="18"/>
      <c r="C279" s="11"/>
      <c r="D279" s="18"/>
      <c r="E279" s="18"/>
      <c r="F279" s="53"/>
      <c r="G279" s="2"/>
    </row>
    <row r="280" spans="1:7" s="21" customFormat="1" ht="15" customHeight="1" x14ac:dyDescent="0.25">
      <c r="A280" s="370"/>
      <c r="B280" s="371"/>
      <c r="C280" s="372"/>
      <c r="D280" s="371"/>
      <c r="E280" s="375"/>
      <c r="F280" s="376"/>
      <c r="G280" s="374"/>
    </row>
    <row r="281" spans="1:7" ht="15" customHeight="1" x14ac:dyDescent="0.2">
      <c r="A281" s="25"/>
      <c r="B281" s="18"/>
      <c r="C281" s="37"/>
      <c r="D281" s="2"/>
      <c r="E281" s="2"/>
      <c r="F281" s="53"/>
      <c r="G281" s="2"/>
    </row>
    <row r="282" spans="1:7" s="21" customFormat="1" ht="15" customHeight="1" x14ac:dyDescent="0.25">
      <c r="A282" s="370"/>
      <c r="B282" s="371"/>
      <c r="C282" s="372"/>
      <c r="D282" s="371"/>
      <c r="E282" s="375"/>
      <c r="F282" s="376"/>
      <c r="G282" s="374"/>
    </row>
    <row r="283" spans="1:7" ht="13.15" customHeight="1" x14ac:dyDescent="0.2">
      <c r="A283" s="25"/>
      <c r="B283" s="18"/>
      <c r="C283" s="37"/>
      <c r="D283" s="2"/>
      <c r="E283" s="2"/>
      <c r="F283" s="53"/>
      <c r="G283" s="2"/>
    </row>
    <row r="284" spans="1:7" s="21" customFormat="1" ht="15" customHeight="1" x14ac:dyDescent="0.25">
      <c r="A284" s="370"/>
      <c r="B284" s="371"/>
      <c r="C284" s="372"/>
      <c r="D284" s="371"/>
      <c r="E284" s="375"/>
      <c r="F284" s="376"/>
      <c r="G284" s="374"/>
    </row>
    <row r="285" spans="1:7" ht="13.9" customHeight="1" x14ac:dyDescent="0.2">
      <c r="A285" s="25"/>
      <c r="B285" s="18"/>
      <c r="C285" s="37"/>
      <c r="D285" s="2"/>
      <c r="E285" s="2"/>
      <c r="F285" s="53"/>
      <c r="G285" s="2"/>
    </row>
    <row r="286" spans="1:7" s="21" customFormat="1" ht="15" customHeight="1" x14ac:dyDescent="0.25">
      <c r="A286" s="370"/>
      <c r="B286" s="371"/>
      <c r="C286" s="372"/>
      <c r="D286" s="371"/>
      <c r="E286" s="375"/>
      <c r="F286" s="376"/>
      <c r="G286" s="374"/>
    </row>
    <row r="287" spans="1:7" s="21" customFormat="1" ht="12" customHeight="1" x14ac:dyDescent="0.25">
      <c r="A287" s="25"/>
      <c r="B287" s="18"/>
      <c r="C287" s="10"/>
      <c r="D287" s="18"/>
      <c r="E287" s="18"/>
      <c r="F287" s="71"/>
      <c r="G287" s="16"/>
    </row>
    <row r="288" spans="1:7" s="21" customFormat="1" ht="15" customHeight="1" x14ac:dyDescent="0.25">
      <c r="A288" s="370"/>
      <c r="B288" s="371"/>
      <c r="C288" s="372"/>
      <c r="D288" s="371"/>
      <c r="E288" s="375"/>
      <c r="F288" s="376"/>
      <c r="G288" s="374"/>
    </row>
    <row r="289" spans="1:7" ht="15" customHeight="1" x14ac:dyDescent="0.2">
      <c r="A289" s="80"/>
      <c r="B289" s="80"/>
      <c r="C289" s="81"/>
      <c r="D289" s="81"/>
      <c r="E289" s="81"/>
      <c r="F289" s="87"/>
      <c r="G289" s="82"/>
    </row>
    <row r="290" spans="1:7" ht="15" customHeight="1" x14ac:dyDescent="0.2">
      <c r="A290" s="370"/>
      <c r="B290" s="371"/>
      <c r="C290" s="372"/>
      <c r="D290" s="371"/>
      <c r="E290" s="375"/>
      <c r="F290" s="376"/>
      <c r="G290" s="374"/>
    </row>
    <row r="291" spans="1:7" ht="15" customHeight="1" x14ac:dyDescent="0.2">
      <c r="A291" s="80"/>
      <c r="B291" s="80"/>
      <c r="C291" s="81"/>
      <c r="D291" s="81"/>
      <c r="E291" s="81"/>
      <c r="F291" s="87"/>
      <c r="G291" s="82"/>
    </row>
    <row r="292" spans="1:7" ht="15" customHeight="1" x14ac:dyDescent="0.2">
      <c r="A292" s="370"/>
      <c r="B292" s="371"/>
      <c r="C292" s="372"/>
      <c r="D292" s="371"/>
      <c r="E292" s="375"/>
      <c r="F292" s="376"/>
      <c r="G292" s="374"/>
    </row>
    <row r="293" spans="1:7" ht="15" customHeight="1" x14ac:dyDescent="0.2">
      <c r="A293" s="80"/>
      <c r="B293" s="80"/>
      <c r="C293" s="81"/>
      <c r="D293" s="81"/>
      <c r="E293" s="81"/>
      <c r="F293" s="87"/>
      <c r="G293" s="82"/>
    </row>
    <row r="294" spans="1:7" ht="15" customHeight="1" x14ac:dyDescent="0.2">
      <c r="A294" s="370"/>
      <c r="B294" s="371"/>
      <c r="C294" s="372"/>
      <c r="D294" s="371"/>
      <c r="E294" s="375"/>
      <c r="F294" s="376"/>
      <c r="G294" s="374"/>
    </row>
    <row r="295" spans="1:7" ht="15" customHeight="1" x14ac:dyDescent="0.2">
      <c r="A295" s="80"/>
      <c r="B295" s="80"/>
      <c r="C295" s="81"/>
      <c r="D295" s="81"/>
      <c r="E295" s="81"/>
      <c r="F295" s="87"/>
      <c r="G295" s="82"/>
    </row>
    <row r="296" spans="1:7" ht="15" customHeight="1" x14ac:dyDescent="0.2">
      <c r="A296" s="370"/>
      <c r="B296" s="371"/>
      <c r="C296" s="372"/>
      <c r="D296" s="371"/>
      <c r="E296" s="375"/>
      <c r="F296" s="376"/>
      <c r="G296" s="374"/>
    </row>
    <row r="297" spans="1:7" ht="15" customHeight="1" x14ac:dyDescent="0.2">
      <c r="A297" s="80"/>
      <c r="B297" s="80"/>
      <c r="C297" s="81"/>
      <c r="D297" s="81"/>
      <c r="E297" s="81"/>
      <c r="F297" s="87"/>
      <c r="G297" s="82"/>
    </row>
    <row r="298" spans="1:7" ht="15" customHeight="1" x14ac:dyDescent="0.2">
      <c r="A298" s="370"/>
      <c r="B298" s="371"/>
      <c r="C298" s="372"/>
      <c r="D298" s="371"/>
      <c r="E298" s="375"/>
      <c r="F298" s="376"/>
      <c r="G298" s="374"/>
    </row>
    <row r="299" spans="1:7" ht="15" customHeight="1" x14ac:dyDescent="0.2">
      <c r="A299" s="80"/>
      <c r="B299" s="80"/>
      <c r="C299" s="81"/>
      <c r="D299" s="81"/>
      <c r="E299" s="81"/>
      <c r="F299" s="87"/>
      <c r="G299" s="82"/>
    </row>
    <row r="300" spans="1:7" ht="15" customHeight="1" x14ac:dyDescent="0.2">
      <c r="A300" s="370"/>
      <c r="B300" s="371"/>
      <c r="C300" s="372"/>
      <c r="D300" s="371"/>
      <c r="E300" s="375"/>
      <c r="F300" s="376"/>
      <c r="G300" s="374"/>
    </row>
    <row r="301" spans="1:7" ht="15" customHeight="1" x14ac:dyDescent="0.2">
      <c r="A301" s="80"/>
      <c r="B301" s="80"/>
      <c r="C301" s="81"/>
      <c r="D301" s="81"/>
      <c r="E301" s="81"/>
      <c r="F301" s="87"/>
      <c r="G301" s="82"/>
    </row>
    <row r="302" spans="1:7" ht="15" customHeight="1" x14ac:dyDescent="0.2">
      <c r="A302" s="370"/>
      <c r="B302" s="371"/>
      <c r="C302" s="372"/>
      <c r="D302" s="371"/>
      <c r="E302" s="375"/>
      <c r="F302" s="376"/>
      <c r="G302" s="374"/>
    </row>
    <row r="303" spans="1:7" ht="15" customHeight="1" x14ac:dyDescent="0.2">
      <c r="A303" s="80"/>
      <c r="B303" s="80"/>
      <c r="C303" s="81"/>
      <c r="D303" s="81"/>
      <c r="E303" s="81"/>
      <c r="F303" s="87"/>
      <c r="G303" s="82"/>
    </row>
    <row r="304" spans="1:7" ht="15" customHeight="1" x14ac:dyDescent="0.2">
      <c r="A304" s="370"/>
      <c r="B304" s="371"/>
      <c r="C304" s="372"/>
      <c r="D304" s="371"/>
      <c r="E304" s="375"/>
      <c r="F304" s="376"/>
      <c r="G304" s="374"/>
    </row>
    <row r="305" spans="1:7" ht="28.5" customHeight="1" x14ac:dyDescent="0.2">
      <c r="A305" s="526" t="s">
        <v>203</v>
      </c>
      <c r="B305" s="526"/>
      <c r="C305" s="526"/>
      <c r="D305" s="526"/>
      <c r="E305" s="526"/>
      <c r="F305" s="526"/>
      <c r="G305" s="85"/>
    </row>
  </sheetData>
  <mergeCells count="10">
    <mergeCell ref="A305:F305"/>
    <mergeCell ref="A211:F211"/>
    <mergeCell ref="A1:G1"/>
    <mergeCell ref="A88:F88"/>
    <mergeCell ref="A174:F174"/>
    <mergeCell ref="A263:F263"/>
    <mergeCell ref="A43:F43"/>
    <mergeCell ref="A44:F44"/>
    <mergeCell ref="A131:F131"/>
    <mergeCell ref="A132:F132"/>
  </mergeCells>
  <pageMargins left="0.51181102362204722" right="0.39370078740157483" top="0.94488188976377963" bottom="0.74803149606299213" header="0.23622047244094491" footer="0.31496062992125984"/>
  <pageSetup paperSize="9"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A</oddHeader>
    <oddFooter>&amp;L&amp;"Arial,Regular"&amp;9Bill of Quantities&amp;R&amp;"Arial,Regular"&amp;9BOQ.&amp;P</oddFooter>
  </headerFooter>
  <rowBreaks count="5" manualBreakCount="5">
    <brk id="43" max="6" man="1"/>
    <brk id="88" max="16383" man="1"/>
    <brk id="131" max="16383" man="1"/>
    <brk id="174" max="16383" man="1"/>
    <brk id="2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D512B-BFD7-4220-9244-EC88D570BCFD}">
  <dimension ref="A1:G903"/>
  <sheetViews>
    <sheetView view="pageBreakPreview" zoomScale="115" zoomScaleNormal="115" zoomScaleSheetLayoutView="115" workbookViewId="0">
      <selection activeCell="B10" sqref="B10:E10"/>
    </sheetView>
  </sheetViews>
  <sheetFormatPr defaultColWidth="8" defaultRowHeight="12" x14ac:dyDescent="0.25"/>
  <cols>
    <col min="1" max="1" width="8.28515625" style="32" bestFit="1" customWidth="1"/>
    <col min="2" max="2" width="35.140625" style="21" customWidth="1"/>
    <col min="3" max="3" width="5.140625" style="32" customWidth="1"/>
    <col min="4" max="4" width="7.140625" style="59" customWidth="1"/>
    <col min="5" max="5" width="15.7109375" style="68" customWidth="1"/>
    <col min="6" max="6" width="23.85546875" style="95" customWidth="1"/>
    <col min="7" max="16384" width="8" style="21"/>
  </cols>
  <sheetData>
    <row r="1" spans="1:6" ht="15" customHeight="1" x14ac:dyDescent="0.25">
      <c r="A1" s="89"/>
      <c r="B1" s="528" t="s">
        <v>616</v>
      </c>
      <c r="C1" s="528"/>
      <c r="D1" s="528"/>
      <c r="E1" s="528"/>
      <c r="F1" s="529"/>
    </row>
    <row r="2" spans="1:6" ht="27.75" customHeight="1" x14ac:dyDescent="0.25">
      <c r="A2" s="530" t="s">
        <v>1413</v>
      </c>
      <c r="B2" s="531"/>
      <c r="C2" s="531"/>
      <c r="D2" s="531"/>
      <c r="E2" s="531"/>
      <c r="F2" s="532"/>
    </row>
    <row r="3" spans="1:6" ht="12" customHeight="1" x14ac:dyDescent="0.25">
      <c r="A3" s="535"/>
      <c r="B3" s="536"/>
      <c r="C3" s="536"/>
      <c r="D3" s="536"/>
      <c r="E3" s="536"/>
      <c r="F3" s="537"/>
    </row>
    <row r="4" spans="1:6" ht="30" customHeight="1" x14ac:dyDescent="0.25">
      <c r="A4" s="148" t="s">
        <v>1111</v>
      </c>
      <c r="B4" s="533" t="s">
        <v>0</v>
      </c>
      <c r="C4" s="533"/>
      <c r="D4" s="533"/>
      <c r="E4" s="533"/>
      <c r="F4" s="77" t="s">
        <v>77</v>
      </c>
    </row>
    <row r="5" spans="1:6" ht="9.9499999999999993" customHeight="1" x14ac:dyDescent="0.25">
      <c r="A5" s="535"/>
      <c r="B5" s="536"/>
      <c r="C5" s="536"/>
      <c r="D5" s="536"/>
      <c r="E5" s="536"/>
      <c r="F5" s="537"/>
    </row>
    <row r="6" spans="1:6" ht="39.950000000000003" customHeight="1" x14ac:dyDescent="0.25">
      <c r="A6" s="44" t="s">
        <v>1409</v>
      </c>
      <c r="B6" s="534" t="s">
        <v>391</v>
      </c>
      <c r="C6" s="534"/>
      <c r="D6" s="534"/>
      <c r="E6" s="534"/>
      <c r="F6" s="158"/>
    </row>
    <row r="7" spans="1:6" ht="9.9499999999999993" customHeight="1" x14ac:dyDescent="0.25">
      <c r="A7" s="535"/>
      <c r="B7" s="536"/>
      <c r="C7" s="536"/>
      <c r="D7" s="536"/>
      <c r="E7" s="536"/>
      <c r="F7" s="537"/>
    </row>
    <row r="8" spans="1:6" ht="39.950000000000003" customHeight="1" x14ac:dyDescent="0.25">
      <c r="A8" s="44" t="s">
        <v>1410</v>
      </c>
      <c r="B8" s="534" t="s">
        <v>438</v>
      </c>
      <c r="C8" s="534"/>
      <c r="D8" s="534"/>
      <c r="E8" s="534"/>
      <c r="F8" s="158"/>
    </row>
    <row r="9" spans="1:6" ht="9.9499999999999993" customHeight="1" x14ac:dyDescent="0.25">
      <c r="A9" s="535"/>
      <c r="B9" s="536"/>
      <c r="C9" s="536"/>
      <c r="D9" s="536"/>
      <c r="E9" s="536"/>
      <c r="F9" s="537"/>
    </row>
    <row r="10" spans="1:6" ht="39.950000000000003" customHeight="1" x14ac:dyDescent="0.25">
      <c r="A10" s="44" t="s">
        <v>1411</v>
      </c>
      <c r="B10" s="534" t="s">
        <v>970</v>
      </c>
      <c r="C10" s="534"/>
      <c r="D10" s="534"/>
      <c r="E10" s="534"/>
      <c r="F10" s="299"/>
    </row>
    <row r="11" spans="1:6" ht="9.9499999999999993" customHeight="1" x14ac:dyDescent="0.25">
      <c r="A11" s="535"/>
      <c r="B11" s="536"/>
      <c r="C11" s="536"/>
      <c r="D11" s="536"/>
      <c r="E11" s="536"/>
      <c r="F11" s="537"/>
    </row>
    <row r="12" spans="1:6" ht="39.950000000000003" customHeight="1" x14ac:dyDescent="0.25">
      <c r="A12" s="41" t="s">
        <v>173</v>
      </c>
      <c r="B12" s="526" t="s">
        <v>1412</v>
      </c>
      <c r="C12" s="526"/>
      <c r="D12" s="526"/>
      <c r="E12" s="526"/>
      <c r="F12" s="298"/>
    </row>
    <row r="13" spans="1:6" x14ac:dyDescent="0.25">
      <c r="A13" s="300"/>
      <c r="B13" s="301"/>
      <c r="C13" s="301"/>
      <c r="D13" s="301"/>
      <c r="E13" s="301"/>
      <c r="F13" s="302"/>
    </row>
    <row r="14" spans="1:6" x14ac:dyDescent="0.25">
      <c r="A14" s="300"/>
      <c r="B14" s="301"/>
      <c r="C14" s="301"/>
      <c r="D14" s="301"/>
      <c r="E14" s="301"/>
      <c r="F14" s="302"/>
    </row>
    <row r="15" spans="1:6" x14ac:dyDescent="0.25">
      <c r="A15" s="300"/>
      <c r="B15" s="301"/>
      <c r="C15" s="301"/>
      <c r="D15" s="301"/>
      <c r="E15" s="301"/>
      <c r="F15" s="302"/>
    </row>
    <row r="16" spans="1:6" x14ac:dyDescent="0.25">
      <c r="A16" s="300"/>
      <c r="B16" s="301"/>
      <c r="C16" s="301"/>
      <c r="D16" s="301"/>
      <c r="E16" s="301"/>
      <c r="F16" s="302"/>
    </row>
    <row r="17" spans="1:6" x14ac:dyDescent="0.25">
      <c r="A17" s="300"/>
      <c r="B17" s="301"/>
      <c r="C17" s="301"/>
      <c r="D17" s="301"/>
      <c r="E17" s="301"/>
      <c r="F17" s="302"/>
    </row>
    <row r="18" spans="1:6" x14ac:dyDescent="0.25">
      <c r="A18" s="300"/>
      <c r="B18" s="301"/>
      <c r="C18" s="301"/>
      <c r="D18" s="301"/>
      <c r="E18" s="301"/>
      <c r="F18" s="302"/>
    </row>
    <row r="19" spans="1:6" x14ac:dyDescent="0.25">
      <c r="A19" s="300"/>
      <c r="B19" s="301"/>
      <c r="C19" s="301"/>
      <c r="D19" s="301"/>
      <c r="E19" s="301"/>
      <c r="F19" s="302"/>
    </row>
    <row r="20" spans="1:6" x14ac:dyDescent="0.25">
      <c r="A20" s="300"/>
      <c r="B20" s="301"/>
      <c r="C20" s="301"/>
      <c r="D20" s="301"/>
      <c r="E20" s="301"/>
      <c r="F20" s="302"/>
    </row>
    <row r="21" spans="1:6" x14ac:dyDescent="0.25">
      <c r="A21" s="300"/>
      <c r="B21" s="301"/>
      <c r="C21" s="301"/>
      <c r="D21" s="301"/>
      <c r="E21" s="301"/>
      <c r="F21" s="302"/>
    </row>
    <row r="22" spans="1:6" x14ac:dyDescent="0.25">
      <c r="A22" s="300"/>
      <c r="B22" s="301"/>
      <c r="C22" s="301"/>
      <c r="D22" s="301"/>
      <c r="E22" s="301"/>
      <c r="F22" s="302"/>
    </row>
    <row r="23" spans="1:6" x14ac:dyDescent="0.25">
      <c r="A23" s="300"/>
      <c r="B23" s="301"/>
      <c r="C23" s="301"/>
      <c r="D23" s="301"/>
      <c r="E23" s="301"/>
      <c r="F23" s="302"/>
    </row>
    <row r="24" spans="1:6" x14ac:dyDescent="0.25">
      <c r="A24" s="300"/>
      <c r="B24" s="301"/>
      <c r="C24" s="301"/>
      <c r="D24" s="301"/>
      <c r="E24" s="301"/>
      <c r="F24" s="302"/>
    </row>
    <row r="25" spans="1:6" x14ac:dyDescent="0.25">
      <c r="A25" s="300"/>
      <c r="B25" s="301"/>
      <c r="C25" s="301"/>
      <c r="D25" s="301"/>
      <c r="E25" s="301"/>
      <c r="F25" s="302"/>
    </row>
    <row r="26" spans="1:6" x14ac:dyDescent="0.25">
      <c r="A26" s="300"/>
      <c r="B26" s="301"/>
      <c r="C26" s="301"/>
      <c r="D26" s="301"/>
      <c r="E26" s="301"/>
      <c r="F26" s="302"/>
    </row>
    <row r="27" spans="1:6" x14ac:dyDescent="0.25">
      <c r="A27" s="300"/>
      <c r="B27" s="301"/>
      <c r="C27" s="301"/>
      <c r="D27" s="301"/>
      <c r="E27" s="301"/>
      <c r="F27" s="302"/>
    </row>
    <row r="28" spans="1:6" ht="12" customHeight="1" x14ac:dyDescent="0.25">
      <c r="A28" s="303"/>
      <c r="B28" s="304"/>
      <c r="C28" s="35"/>
      <c r="D28" s="305"/>
      <c r="E28" s="306"/>
      <c r="F28" s="302"/>
    </row>
    <row r="29" spans="1:6" ht="12" customHeight="1" x14ac:dyDescent="0.25">
      <c r="A29" s="303"/>
      <c r="B29" s="304"/>
      <c r="C29" s="35"/>
      <c r="D29" s="305"/>
      <c r="E29" s="306"/>
      <c r="F29" s="302"/>
    </row>
    <row r="30" spans="1:6" ht="12" customHeight="1" x14ac:dyDescent="0.25">
      <c r="A30" s="303"/>
      <c r="B30" s="304"/>
      <c r="C30" s="35"/>
      <c r="D30" s="305"/>
      <c r="E30" s="306"/>
      <c r="F30" s="302"/>
    </row>
    <row r="31" spans="1:6" ht="12" customHeight="1" x14ac:dyDescent="0.25">
      <c r="A31" s="303"/>
      <c r="B31" s="304"/>
      <c r="C31" s="35"/>
      <c r="D31" s="305"/>
      <c r="E31" s="306"/>
      <c r="F31" s="302"/>
    </row>
    <row r="32" spans="1:6" ht="12" customHeight="1" x14ac:dyDescent="0.25">
      <c r="A32" s="303"/>
      <c r="B32" s="304"/>
      <c r="C32" s="35"/>
      <c r="D32" s="305"/>
      <c r="E32" s="306"/>
      <c r="F32" s="302"/>
    </row>
    <row r="33" spans="1:6" ht="12" customHeight="1" x14ac:dyDescent="0.25">
      <c r="A33" s="303"/>
      <c r="B33" s="304"/>
      <c r="C33" s="35"/>
      <c r="D33" s="305"/>
      <c r="E33" s="306"/>
      <c r="F33" s="302"/>
    </row>
    <row r="34" spans="1:6" ht="12" customHeight="1" x14ac:dyDescent="0.25">
      <c r="A34" s="303"/>
      <c r="B34" s="304"/>
      <c r="C34" s="35"/>
      <c r="D34" s="305"/>
      <c r="E34" s="306"/>
      <c r="F34" s="302"/>
    </row>
    <row r="35" spans="1:6" ht="12" customHeight="1" x14ac:dyDescent="0.25">
      <c r="A35" s="303"/>
      <c r="B35" s="304"/>
      <c r="C35" s="35"/>
      <c r="D35" s="305"/>
      <c r="E35" s="306"/>
      <c r="F35" s="302"/>
    </row>
    <row r="36" spans="1:6" ht="12" customHeight="1" x14ac:dyDescent="0.25">
      <c r="A36" s="303"/>
      <c r="B36" s="304"/>
      <c r="C36" s="35"/>
      <c r="D36" s="305"/>
      <c r="E36" s="306"/>
      <c r="F36" s="302"/>
    </row>
    <row r="37" spans="1:6" ht="12" customHeight="1" x14ac:dyDescent="0.25">
      <c r="A37" s="303"/>
      <c r="B37" s="304"/>
      <c r="C37" s="35"/>
      <c r="D37" s="305"/>
      <c r="E37" s="306"/>
      <c r="F37" s="302"/>
    </row>
    <row r="38" spans="1:6" ht="12" customHeight="1" x14ac:dyDescent="0.25">
      <c r="A38" s="303"/>
      <c r="B38" s="304"/>
      <c r="C38" s="35"/>
      <c r="D38" s="305"/>
      <c r="E38" s="306"/>
      <c r="F38" s="302"/>
    </row>
    <row r="39" spans="1:6" ht="12" customHeight="1" x14ac:dyDescent="0.25">
      <c r="A39" s="303"/>
      <c r="B39" s="304"/>
      <c r="C39" s="35"/>
      <c r="D39" s="305"/>
      <c r="E39" s="306"/>
      <c r="F39" s="302"/>
    </row>
    <row r="40" spans="1:6" ht="12" customHeight="1" x14ac:dyDescent="0.25">
      <c r="A40" s="303"/>
      <c r="B40" s="304"/>
      <c r="C40" s="35"/>
      <c r="D40" s="305"/>
      <c r="E40" s="306"/>
      <c r="F40" s="302"/>
    </row>
    <row r="41" spans="1:6" ht="12" customHeight="1" x14ac:dyDescent="0.25">
      <c r="A41" s="303"/>
      <c r="B41" s="304"/>
      <c r="C41" s="35"/>
      <c r="D41" s="305"/>
      <c r="E41" s="306"/>
      <c r="F41" s="302"/>
    </row>
    <row r="42" spans="1:6" ht="12" customHeight="1" x14ac:dyDescent="0.25">
      <c r="A42" s="303"/>
      <c r="B42" s="304"/>
      <c r="C42" s="35"/>
      <c r="D42" s="305"/>
      <c r="E42" s="306"/>
      <c r="F42" s="302"/>
    </row>
    <row r="43" spans="1:6" ht="12" customHeight="1" x14ac:dyDescent="0.25">
      <c r="A43" s="303"/>
      <c r="B43" s="304"/>
      <c r="C43" s="35"/>
      <c r="D43" s="305"/>
      <c r="E43" s="306"/>
      <c r="F43" s="302"/>
    </row>
    <row r="44" spans="1:6" ht="12" customHeight="1" x14ac:dyDescent="0.25">
      <c r="A44" s="303"/>
      <c r="B44" s="39"/>
      <c r="C44" s="35"/>
      <c r="D44" s="307"/>
      <c r="E44" s="308"/>
      <c r="F44" s="309"/>
    </row>
    <row r="45" spans="1:6" ht="12" customHeight="1" x14ac:dyDescent="0.25">
      <c r="A45" s="303"/>
      <c r="B45" s="39"/>
      <c r="C45" s="35"/>
      <c r="D45" s="307"/>
      <c r="E45" s="308"/>
      <c r="F45" s="309"/>
    </row>
    <row r="46" spans="1:6" ht="12" customHeight="1" x14ac:dyDescent="0.25">
      <c r="A46" s="303"/>
      <c r="B46" s="304"/>
      <c r="C46" s="35"/>
      <c r="D46" s="307"/>
      <c r="E46" s="308"/>
      <c r="F46" s="309"/>
    </row>
    <row r="47" spans="1:6" ht="12" customHeight="1" x14ac:dyDescent="0.25">
      <c r="A47" s="303"/>
      <c r="B47" s="310"/>
      <c r="C47" s="35"/>
      <c r="D47" s="307"/>
      <c r="E47" s="308"/>
      <c r="F47" s="309"/>
    </row>
    <row r="48" spans="1:6" ht="12" customHeight="1" x14ac:dyDescent="0.25">
      <c r="A48" s="303"/>
      <c r="B48" s="311"/>
      <c r="C48" s="35"/>
      <c r="D48" s="307"/>
      <c r="E48" s="308"/>
      <c r="F48" s="309"/>
    </row>
    <row r="49" spans="2:7" s="32" customFormat="1" ht="15" customHeight="1" x14ac:dyDescent="0.25">
      <c r="B49" s="39"/>
      <c r="D49" s="59"/>
      <c r="E49" s="68"/>
      <c r="F49" s="95"/>
      <c r="G49" s="21"/>
    </row>
    <row r="50" spans="2:7" s="32" customFormat="1" ht="15" customHeight="1" x14ac:dyDescent="0.25">
      <c r="B50" s="39"/>
      <c r="D50" s="59"/>
      <c r="E50" s="68"/>
      <c r="F50" s="95"/>
      <c r="G50" s="21"/>
    </row>
    <row r="51" spans="2:7" s="32" customFormat="1" ht="15" customHeight="1" x14ac:dyDescent="0.25">
      <c r="B51" s="39"/>
      <c r="D51" s="59"/>
      <c r="E51" s="68"/>
      <c r="F51" s="95"/>
      <c r="G51" s="21"/>
    </row>
    <row r="52" spans="2:7" s="32" customFormat="1" ht="15" customHeight="1" x14ac:dyDescent="0.25">
      <c r="B52" s="39"/>
      <c r="D52" s="59"/>
      <c r="E52" s="68"/>
      <c r="F52" s="95"/>
      <c r="G52" s="21"/>
    </row>
    <row r="53" spans="2:7" s="32" customFormat="1" ht="15" customHeight="1" x14ac:dyDescent="0.25">
      <c r="B53" s="39"/>
      <c r="D53" s="59"/>
      <c r="E53" s="68"/>
      <c r="F53" s="95"/>
      <c r="G53" s="21"/>
    </row>
    <row r="54" spans="2:7" s="32" customFormat="1" ht="15" customHeight="1" x14ac:dyDescent="0.25">
      <c r="B54" s="39"/>
      <c r="D54" s="59"/>
      <c r="E54" s="68"/>
      <c r="F54" s="95"/>
      <c r="G54" s="21"/>
    </row>
    <row r="55" spans="2:7" s="32" customFormat="1" ht="15" customHeight="1" x14ac:dyDescent="0.25">
      <c r="B55" s="39"/>
      <c r="D55" s="59"/>
      <c r="E55" s="68"/>
      <c r="F55" s="95"/>
      <c r="G55" s="21"/>
    </row>
    <row r="56" spans="2:7" s="32" customFormat="1" ht="15" customHeight="1" x14ac:dyDescent="0.25">
      <c r="B56" s="39"/>
      <c r="D56" s="59"/>
      <c r="E56" s="68"/>
      <c r="F56" s="95"/>
      <c r="G56" s="21"/>
    </row>
    <row r="57" spans="2:7" s="32" customFormat="1" ht="15" customHeight="1" x14ac:dyDescent="0.25">
      <c r="B57" s="39"/>
      <c r="D57" s="59"/>
      <c r="E57" s="68"/>
      <c r="F57" s="95"/>
      <c r="G57" s="21"/>
    </row>
    <row r="58" spans="2:7" s="32" customFormat="1" ht="15" customHeight="1" x14ac:dyDescent="0.25">
      <c r="B58" s="39"/>
      <c r="D58" s="59"/>
      <c r="E58" s="68"/>
      <c r="F58" s="95"/>
      <c r="G58" s="21"/>
    </row>
    <row r="59" spans="2:7" s="32" customFormat="1" ht="15" customHeight="1" x14ac:dyDescent="0.25">
      <c r="B59" s="39"/>
      <c r="D59" s="59"/>
      <c r="E59" s="68"/>
      <c r="F59" s="95"/>
      <c r="G59" s="21"/>
    </row>
    <row r="60" spans="2:7" s="32" customFormat="1" ht="15" customHeight="1" x14ac:dyDescent="0.25">
      <c r="B60" s="39"/>
      <c r="D60" s="59"/>
      <c r="E60" s="68"/>
      <c r="F60" s="95"/>
      <c r="G60" s="21"/>
    </row>
    <row r="61" spans="2:7" s="32" customFormat="1" ht="15" customHeight="1" x14ac:dyDescent="0.25">
      <c r="B61" s="39"/>
      <c r="D61" s="59"/>
      <c r="E61" s="68"/>
      <c r="F61" s="95"/>
      <c r="G61" s="21"/>
    </row>
    <row r="62" spans="2:7" s="32" customFormat="1" ht="15" customHeight="1" x14ac:dyDescent="0.25">
      <c r="B62" s="39"/>
      <c r="D62" s="59"/>
      <c r="E62" s="68"/>
      <c r="F62" s="95"/>
      <c r="G62" s="21"/>
    </row>
    <row r="63" spans="2:7" s="32" customFormat="1" ht="15" customHeight="1" x14ac:dyDescent="0.25">
      <c r="B63" s="39"/>
      <c r="D63" s="59"/>
      <c r="E63" s="68"/>
      <c r="F63" s="95"/>
      <c r="G63" s="21"/>
    </row>
    <row r="64" spans="2:7" s="32" customFormat="1" ht="15" customHeight="1" x14ac:dyDescent="0.25">
      <c r="B64" s="39"/>
      <c r="D64" s="59"/>
      <c r="E64" s="68"/>
      <c r="F64" s="95"/>
      <c r="G64" s="21"/>
    </row>
    <row r="65" spans="2:7" s="32" customFormat="1" ht="15" customHeight="1" x14ac:dyDescent="0.25">
      <c r="B65" s="39"/>
      <c r="D65" s="59"/>
      <c r="E65" s="68"/>
      <c r="F65" s="95"/>
      <c r="G65" s="21"/>
    </row>
    <row r="66" spans="2:7" s="32" customFormat="1" ht="15" customHeight="1" x14ac:dyDescent="0.25">
      <c r="B66" s="39"/>
      <c r="D66" s="59"/>
      <c r="E66" s="68"/>
      <c r="F66" s="95"/>
      <c r="G66" s="21"/>
    </row>
    <row r="67" spans="2:7" s="32" customFormat="1" ht="15" customHeight="1" x14ac:dyDescent="0.25">
      <c r="B67" s="39"/>
      <c r="D67" s="59"/>
      <c r="E67" s="68"/>
      <c r="F67" s="95"/>
      <c r="G67" s="21"/>
    </row>
    <row r="68" spans="2:7" s="32" customFormat="1" ht="15" customHeight="1" x14ac:dyDescent="0.25">
      <c r="B68" s="39"/>
      <c r="D68" s="59"/>
      <c r="E68" s="68"/>
      <c r="F68" s="95"/>
      <c r="G68" s="21"/>
    </row>
    <row r="69" spans="2:7" s="32" customFormat="1" ht="15" customHeight="1" x14ac:dyDescent="0.25">
      <c r="B69" s="39"/>
      <c r="D69" s="59"/>
      <c r="E69" s="68"/>
      <c r="F69" s="95"/>
      <c r="G69" s="21"/>
    </row>
    <row r="70" spans="2:7" s="32" customFormat="1" ht="15" customHeight="1" x14ac:dyDescent="0.25">
      <c r="B70" s="39"/>
      <c r="D70" s="59"/>
      <c r="E70" s="68"/>
      <c r="F70" s="95"/>
      <c r="G70" s="21"/>
    </row>
    <row r="71" spans="2:7" s="32" customFormat="1" ht="15" customHeight="1" x14ac:dyDescent="0.25">
      <c r="B71" s="39"/>
      <c r="D71" s="59"/>
      <c r="E71" s="68"/>
      <c r="F71" s="95"/>
      <c r="G71" s="21"/>
    </row>
    <row r="72" spans="2:7" s="32" customFormat="1" ht="15" customHeight="1" x14ac:dyDescent="0.25">
      <c r="B72" s="39"/>
      <c r="D72" s="59"/>
      <c r="E72" s="68"/>
      <c r="F72" s="95"/>
      <c r="G72" s="21"/>
    </row>
    <row r="73" spans="2:7" s="32" customFormat="1" ht="15" customHeight="1" x14ac:dyDescent="0.25">
      <c r="B73" s="39"/>
      <c r="D73" s="59"/>
      <c r="E73" s="68"/>
      <c r="F73" s="95"/>
      <c r="G73" s="21"/>
    </row>
    <row r="74" spans="2:7" s="32" customFormat="1" ht="15" customHeight="1" x14ac:dyDescent="0.25">
      <c r="B74" s="39"/>
      <c r="D74" s="59"/>
      <c r="E74" s="68"/>
      <c r="F74" s="95"/>
      <c r="G74" s="21"/>
    </row>
    <row r="75" spans="2:7" s="32" customFormat="1" ht="15" customHeight="1" x14ac:dyDescent="0.25">
      <c r="B75" s="39"/>
      <c r="D75" s="59"/>
      <c r="E75" s="68"/>
      <c r="F75" s="95"/>
      <c r="G75" s="21"/>
    </row>
    <row r="76" spans="2:7" s="32" customFormat="1" ht="15" customHeight="1" x14ac:dyDescent="0.25">
      <c r="B76" s="39"/>
      <c r="D76" s="59"/>
      <c r="E76" s="68"/>
      <c r="F76" s="95"/>
      <c r="G76" s="21"/>
    </row>
    <row r="77" spans="2:7" s="32" customFormat="1" ht="15" customHeight="1" x14ac:dyDescent="0.25">
      <c r="B77" s="39"/>
      <c r="D77" s="59"/>
      <c r="E77" s="68"/>
      <c r="F77" s="95"/>
      <c r="G77" s="21"/>
    </row>
    <row r="78" spans="2:7" s="32" customFormat="1" ht="15" customHeight="1" x14ac:dyDescent="0.25">
      <c r="B78" s="39"/>
      <c r="D78" s="59"/>
      <c r="E78" s="68"/>
      <c r="F78" s="95"/>
      <c r="G78" s="21"/>
    </row>
    <row r="79" spans="2:7" s="32" customFormat="1" ht="15" customHeight="1" x14ac:dyDescent="0.25">
      <c r="B79" s="39"/>
      <c r="D79" s="59"/>
      <c r="E79" s="68"/>
      <c r="F79" s="95"/>
      <c r="G79" s="21"/>
    </row>
    <row r="80" spans="2:7" s="32" customFormat="1" ht="15" customHeight="1" x14ac:dyDescent="0.25">
      <c r="B80" s="39"/>
      <c r="D80" s="59"/>
      <c r="E80" s="68"/>
      <c r="F80" s="95"/>
      <c r="G80" s="21"/>
    </row>
    <row r="81" spans="2:7" s="32" customFormat="1" ht="15" customHeight="1" x14ac:dyDescent="0.25">
      <c r="B81" s="39"/>
      <c r="D81" s="59"/>
      <c r="E81" s="68"/>
      <c r="F81" s="95"/>
      <c r="G81" s="21"/>
    </row>
    <row r="82" spans="2:7" s="32" customFormat="1" ht="15" customHeight="1" x14ac:dyDescent="0.25">
      <c r="B82" s="39"/>
      <c r="D82" s="59"/>
      <c r="E82" s="68"/>
      <c r="F82" s="95"/>
      <c r="G82" s="21"/>
    </row>
    <row r="83" spans="2:7" s="32" customFormat="1" ht="15" customHeight="1" x14ac:dyDescent="0.25">
      <c r="B83" s="39"/>
      <c r="D83" s="59"/>
      <c r="E83" s="68"/>
      <c r="F83" s="95"/>
      <c r="G83" s="21"/>
    </row>
    <row r="84" spans="2:7" s="32" customFormat="1" ht="15" customHeight="1" x14ac:dyDescent="0.25">
      <c r="B84" s="39"/>
      <c r="D84" s="59"/>
      <c r="E84" s="68"/>
      <c r="F84" s="95"/>
      <c r="G84" s="21"/>
    </row>
    <row r="85" spans="2:7" s="32" customFormat="1" ht="15" customHeight="1" x14ac:dyDescent="0.25">
      <c r="B85" s="39"/>
      <c r="D85" s="59"/>
      <c r="E85" s="68"/>
      <c r="F85" s="95"/>
      <c r="G85" s="21"/>
    </row>
    <row r="86" spans="2:7" s="32" customFormat="1" ht="15" customHeight="1" x14ac:dyDescent="0.25">
      <c r="B86" s="39"/>
      <c r="D86" s="59"/>
      <c r="E86" s="68"/>
      <c r="F86" s="95"/>
      <c r="G86" s="21"/>
    </row>
    <row r="87" spans="2:7" s="32" customFormat="1" ht="15" customHeight="1" x14ac:dyDescent="0.25">
      <c r="B87" s="39"/>
      <c r="D87" s="59"/>
      <c r="E87" s="68"/>
      <c r="F87" s="95"/>
      <c r="G87" s="21"/>
    </row>
    <row r="88" spans="2:7" s="32" customFormat="1" ht="15" customHeight="1" x14ac:dyDescent="0.25">
      <c r="B88" s="39"/>
      <c r="D88" s="59"/>
      <c r="E88" s="68"/>
      <c r="F88" s="95"/>
      <c r="G88" s="21"/>
    </row>
    <row r="89" spans="2:7" s="32" customFormat="1" ht="15" customHeight="1" x14ac:dyDescent="0.25">
      <c r="B89" s="39"/>
      <c r="D89" s="59"/>
      <c r="E89" s="68"/>
      <c r="F89" s="95"/>
      <c r="G89" s="21"/>
    </row>
    <row r="90" spans="2:7" s="32" customFormat="1" ht="15" customHeight="1" x14ac:dyDescent="0.25">
      <c r="B90" s="39"/>
      <c r="D90" s="59"/>
      <c r="E90" s="68"/>
      <c r="F90" s="95"/>
      <c r="G90" s="21"/>
    </row>
    <row r="91" spans="2:7" s="32" customFormat="1" ht="15" customHeight="1" x14ac:dyDescent="0.25">
      <c r="B91" s="39"/>
      <c r="D91" s="59"/>
      <c r="E91" s="68"/>
      <c r="F91" s="95"/>
      <c r="G91" s="21"/>
    </row>
    <row r="92" spans="2:7" s="32" customFormat="1" ht="15" customHeight="1" x14ac:dyDescent="0.25">
      <c r="B92" s="39"/>
      <c r="D92" s="59"/>
      <c r="E92" s="68"/>
      <c r="F92" s="95"/>
      <c r="G92" s="21"/>
    </row>
    <row r="93" spans="2:7" s="32" customFormat="1" ht="15" customHeight="1" x14ac:dyDescent="0.25">
      <c r="B93" s="39"/>
      <c r="D93" s="59"/>
      <c r="E93" s="68"/>
      <c r="F93" s="95"/>
      <c r="G93" s="21"/>
    </row>
    <row r="94" spans="2:7" s="32" customFormat="1" ht="15" customHeight="1" x14ac:dyDescent="0.25">
      <c r="B94" s="39"/>
      <c r="D94" s="59"/>
      <c r="E94" s="68"/>
      <c r="F94" s="95"/>
      <c r="G94" s="21"/>
    </row>
    <row r="95" spans="2:7" s="32" customFormat="1" ht="15" customHeight="1" x14ac:dyDescent="0.25">
      <c r="B95" s="39"/>
      <c r="D95" s="59"/>
      <c r="E95" s="68"/>
      <c r="F95" s="95"/>
      <c r="G95" s="21"/>
    </row>
    <row r="96" spans="2:7" s="32" customFormat="1" ht="15" customHeight="1" x14ac:dyDescent="0.25">
      <c r="B96" s="39"/>
      <c r="D96" s="59"/>
      <c r="E96" s="68"/>
      <c r="F96" s="95"/>
      <c r="G96" s="21"/>
    </row>
    <row r="97" spans="2:7" s="32" customFormat="1" ht="15" customHeight="1" x14ac:dyDescent="0.25">
      <c r="B97" s="39"/>
      <c r="D97" s="59"/>
      <c r="E97" s="68"/>
      <c r="F97" s="95"/>
      <c r="G97" s="21"/>
    </row>
    <row r="98" spans="2:7" s="32" customFormat="1" ht="15" customHeight="1" x14ac:dyDescent="0.25">
      <c r="B98" s="39"/>
      <c r="D98" s="59"/>
      <c r="E98" s="68"/>
      <c r="F98" s="95"/>
      <c r="G98" s="21"/>
    </row>
    <row r="99" spans="2:7" s="32" customFormat="1" ht="15" customHeight="1" x14ac:dyDescent="0.25">
      <c r="B99" s="39"/>
      <c r="D99" s="59"/>
      <c r="E99" s="68"/>
      <c r="F99" s="95"/>
      <c r="G99" s="21"/>
    </row>
    <row r="100" spans="2:7" s="32" customFormat="1" ht="15" customHeight="1" x14ac:dyDescent="0.25">
      <c r="B100" s="39"/>
      <c r="D100" s="59"/>
      <c r="E100" s="68"/>
      <c r="F100" s="95"/>
      <c r="G100" s="21"/>
    </row>
    <row r="101" spans="2:7" s="32" customFormat="1" ht="15" customHeight="1" x14ac:dyDescent="0.25">
      <c r="B101" s="39"/>
      <c r="D101" s="59"/>
      <c r="E101" s="68"/>
      <c r="F101" s="95"/>
      <c r="G101" s="21"/>
    </row>
    <row r="102" spans="2:7" s="32" customFormat="1" ht="15" customHeight="1" x14ac:dyDescent="0.25">
      <c r="B102" s="39"/>
      <c r="D102" s="59"/>
      <c r="E102" s="68"/>
      <c r="F102" s="95"/>
      <c r="G102" s="21"/>
    </row>
    <row r="103" spans="2:7" s="32" customFormat="1" ht="15" customHeight="1" x14ac:dyDescent="0.25">
      <c r="B103" s="39"/>
      <c r="D103" s="59"/>
      <c r="E103" s="68"/>
      <c r="F103" s="95"/>
      <c r="G103" s="21"/>
    </row>
    <row r="104" spans="2:7" s="32" customFormat="1" ht="15" customHeight="1" x14ac:dyDescent="0.25">
      <c r="B104" s="39"/>
      <c r="D104" s="59"/>
      <c r="E104" s="68"/>
      <c r="F104" s="95"/>
      <c r="G104" s="21"/>
    </row>
    <row r="105" spans="2:7" s="32" customFormat="1" ht="15" customHeight="1" x14ac:dyDescent="0.25">
      <c r="B105" s="39"/>
      <c r="D105" s="59"/>
      <c r="E105" s="68"/>
      <c r="F105" s="95"/>
      <c r="G105" s="21"/>
    </row>
    <row r="106" spans="2:7" s="32" customFormat="1" ht="15" customHeight="1" x14ac:dyDescent="0.25">
      <c r="B106" s="39"/>
      <c r="D106" s="59"/>
      <c r="E106" s="68"/>
      <c r="F106" s="95"/>
      <c r="G106" s="21"/>
    </row>
    <row r="107" spans="2:7" s="32" customFormat="1" ht="15" customHeight="1" x14ac:dyDescent="0.25">
      <c r="B107" s="39"/>
      <c r="D107" s="59"/>
      <c r="E107" s="68"/>
      <c r="F107" s="95"/>
      <c r="G107" s="21"/>
    </row>
    <row r="108" spans="2:7" s="32" customFormat="1" ht="15" customHeight="1" x14ac:dyDescent="0.25">
      <c r="B108" s="39"/>
      <c r="D108" s="59"/>
      <c r="E108" s="68"/>
      <c r="F108" s="95"/>
      <c r="G108" s="21"/>
    </row>
    <row r="109" spans="2:7" s="32" customFormat="1" ht="15" customHeight="1" x14ac:dyDescent="0.25">
      <c r="B109" s="39"/>
      <c r="D109" s="59"/>
      <c r="E109" s="68"/>
      <c r="F109" s="95"/>
      <c r="G109" s="21"/>
    </row>
    <row r="110" spans="2:7" s="32" customFormat="1" ht="15" customHeight="1" x14ac:dyDescent="0.25">
      <c r="B110" s="39"/>
      <c r="D110" s="59"/>
      <c r="E110" s="68"/>
      <c r="F110" s="95"/>
      <c r="G110" s="21"/>
    </row>
    <row r="111" spans="2:7" s="32" customFormat="1" ht="15" customHeight="1" x14ac:dyDescent="0.25">
      <c r="B111" s="39"/>
      <c r="D111" s="59"/>
      <c r="E111" s="68"/>
      <c r="F111" s="95"/>
      <c r="G111" s="21"/>
    </row>
    <row r="112" spans="2:7" s="32" customFormat="1" ht="15" customHeight="1" x14ac:dyDescent="0.25">
      <c r="B112" s="39"/>
      <c r="D112" s="59"/>
      <c r="E112" s="68"/>
      <c r="F112" s="95"/>
      <c r="G112" s="21"/>
    </row>
    <row r="113" spans="2:7" s="32" customFormat="1" ht="15" customHeight="1" x14ac:dyDescent="0.25">
      <c r="B113" s="39"/>
      <c r="D113" s="59"/>
      <c r="E113" s="68"/>
      <c r="F113" s="95"/>
      <c r="G113" s="21"/>
    </row>
    <row r="114" spans="2:7" s="32" customFormat="1" ht="15" customHeight="1" x14ac:dyDescent="0.25">
      <c r="B114" s="39"/>
      <c r="D114" s="59"/>
      <c r="E114" s="68"/>
      <c r="F114" s="95"/>
      <c r="G114" s="21"/>
    </row>
    <row r="115" spans="2:7" s="32" customFormat="1" ht="15" customHeight="1" x14ac:dyDescent="0.25">
      <c r="B115" s="39"/>
      <c r="D115" s="59"/>
      <c r="E115" s="68"/>
      <c r="F115" s="95"/>
      <c r="G115" s="21"/>
    </row>
    <row r="116" spans="2:7" s="32" customFormat="1" ht="15" customHeight="1" x14ac:dyDescent="0.25">
      <c r="B116" s="39"/>
      <c r="D116" s="59"/>
      <c r="E116" s="68"/>
      <c r="F116" s="95"/>
      <c r="G116" s="21"/>
    </row>
    <row r="117" spans="2:7" s="32" customFormat="1" ht="15" customHeight="1" x14ac:dyDescent="0.25">
      <c r="B117" s="39"/>
      <c r="D117" s="59"/>
      <c r="E117" s="68"/>
      <c r="F117" s="95"/>
      <c r="G117" s="21"/>
    </row>
    <row r="118" spans="2:7" s="32" customFormat="1" ht="15" customHeight="1" x14ac:dyDescent="0.25">
      <c r="B118" s="39"/>
      <c r="D118" s="59"/>
      <c r="E118" s="68"/>
      <c r="F118" s="95"/>
      <c r="G118" s="21"/>
    </row>
    <row r="119" spans="2:7" s="32" customFormat="1" ht="15" customHeight="1" x14ac:dyDescent="0.25">
      <c r="B119" s="39"/>
      <c r="D119" s="59"/>
      <c r="E119" s="68"/>
      <c r="F119" s="95"/>
      <c r="G119" s="21"/>
    </row>
    <row r="120" spans="2:7" s="32" customFormat="1" ht="15" customHeight="1" x14ac:dyDescent="0.25">
      <c r="B120" s="39"/>
      <c r="D120" s="59"/>
      <c r="E120" s="68"/>
      <c r="F120" s="95"/>
      <c r="G120" s="21"/>
    </row>
    <row r="121" spans="2:7" s="32" customFormat="1" ht="15" customHeight="1" x14ac:dyDescent="0.25">
      <c r="B121" s="39"/>
      <c r="D121" s="59"/>
      <c r="E121" s="68"/>
      <c r="F121" s="95"/>
      <c r="G121" s="21"/>
    </row>
    <row r="122" spans="2:7" s="32" customFormat="1" ht="15" customHeight="1" x14ac:dyDescent="0.25">
      <c r="B122" s="39"/>
      <c r="D122" s="59"/>
      <c r="E122" s="68"/>
      <c r="F122" s="95"/>
      <c r="G122" s="21"/>
    </row>
    <row r="123" spans="2:7" s="32" customFormat="1" ht="15" customHeight="1" x14ac:dyDescent="0.25">
      <c r="B123" s="39"/>
      <c r="D123" s="59"/>
      <c r="E123" s="68"/>
      <c r="F123" s="95"/>
      <c r="G123" s="21"/>
    </row>
    <row r="124" spans="2:7" s="32" customFormat="1" ht="15" customHeight="1" x14ac:dyDescent="0.25">
      <c r="B124" s="39"/>
      <c r="D124" s="59"/>
      <c r="E124" s="68"/>
      <c r="F124" s="95"/>
      <c r="G124" s="21"/>
    </row>
    <row r="125" spans="2:7" s="32" customFormat="1" ht="15" customHeight="1" x14ac:dyDescent="0.25">
      <c r="B125" s="39"/>
      <c r="D125" s="59"/>
      <c r="E125" s="68"/>
      <c r="F125" s="95"/>
      <c r="G125" s="21"/>
    </row>
    <row r="126" spans="2:7" s="32" customFormat="1" ht="15" customHeight="1" x14ac:dyDescent="0.25">
      <c r="B126" s="39"/>
      <c r="D126" s="59"/>
      <c r="E126" s="68"/>
      <c r="F126" s="95"/>
      <c r="G126" s="21"/>
    </row>
    <row r="127" spans="2:7" s="32" customFormat="1" ht="15" customHeight="1" x14ac:dyDescent="0.25">
      <c r="B127" s="39"/>
      <c r="D127" s="59"/>
      <c r="E127" s="68"/>
      <c r="F127" s="95"/>
      <c r="G127" s="21"/>
    </row>
    <row r="128" spans="2:7" s="32" customFormat="1" ht="15" customHeight="1" x14ac:dyDescent="0.25">
      <c r="B128" s="39"/>
      <c r="D128" s="59"/>
      <c r="E128" s="68"/>
      <c r="F128" s="95"/>
      <c r="G128" s="21"/>
    </row>
    <row r="129" spans="2:7" s="32" customFormat="1" ht="15" customHeight="1" x14ac:dyDescent="0.25">
      <c r="B129" s="39"/>
      <c r="D129" s="59"/>
      <c r="E129" s="68"/>
      <c r="F129" s="95"/>
      <c r="G129" s="21"/>
    </row>
    <row r="130" spans="2:7" s="32" customFormat="1" ht="15" customHeight="1" x14ac:dyDescent="0.25">
      <c r="B130" s="39"/>
      <c r="D130" s="59"/>
      <c r="E130" s="68"/>
      <c r="F130" s="95"/>
      <c r="G130" s="21"/>
    </row>
    <row r="131" spans="2:7" s="32" customFormat="1" ht="15" customHeight="1" x14ac:dyDescent="0.25">
      <c r="B131" s="39"/>
      <c r="D131" s="59"/>
      <c r="E131" s="68"/>
      <c r="F131" s="95"/>
      <c r="G131" s="21"/>
    </row>
    <row r="132" spans="2:7" s="32" customFormat="1" ht="15" customHeight="1" x14ac:dyDescent="0.25">
      <c r="B132" s="39"/>
      <c r="D132" s="59"/>
      <c r="E132" s="68"/>
      <c r="F132" s="95"/>
      <c r="G132" s="21"/>
    </row>
    <row r="133" spans="2:7" s="32" customFormat="1" ht="15" customHeight="1" x14ac:dyDescent="0.25">
      <c r="B133" s="39"/>
      <c r="D133" s="59"/>
      <c r="E133" s="68"/>
      <c r="F133" s="95"/>
      <c r="G133" s="21"/>
    </row>
    <row r="134" spans="2:7" s="32" customFormat="1" ht="15" customHeight="1" x14ac:dyDescent="0.25">
      <c r="B134" s="39"/>
      <c r="D134" s="59"/>
      <c r="E134" s="68"/>
      <c r="F134" s="95"/>
      <c r="G134" s="21"/>
    </row>
    <row r="135" spans="2:7" s="32" customFormat="1" ht="15" customHeight="1" x14ac:dyDescent="0.25">
      <c r="B135" s="39"/>
      <c r="D135" s="59"/>
      <c r="E135" s="68"/>
      <c r="F135" s="95"/>
      <c r="G135" s="21"/>
    </row>
    <row r="136" spans="2:7" s="32" customFormat="1" ht="15" customHeight="1" x14ac:dyDescent="0.25">
      <c r="B136" s="39"/>
      <c r="D136" s="59"/>
      <c r="E136" s="68"/>
      <c r="F136" s="95"/>
      <c r="G136" s="21"/>
    </row>
    <row r="137" spans="2:7" s="32" customFormat="1" ht="15" customHeight="1" x14ac:dyDescent="0.25">
      <c r="B137" s="39"/>
      <c r="D137" s="59"/>
      <c r="E137" s="68"/>
      <c r="F137" s="95"/>
      <c r="G137" s="21"/>
    </row>
    <row r="138" spans="2:7" s="32" customFormat="1" ht="15" customHeight="1" x14ac:dyDescent="0.25">
      <c r="B138" s="39"/>
      <c r="D138" s="59"/>
      <c r="E138" s="68"/>
      <c r="F138" s="95"/>
      <c r="G138" s="21"/>
    </row>
    <row r="139" spans="2:7" s="32" customFormat="1" ht="15" customHeight="1" x14ac:dyDescent="0.25">
      <c r="B139" s="39"/>
      <c r="D139" s="59"/>
      <c r="E139" s="68"/>
      <c r="F139" s="95"/>
      <c r="G139" s="21"/>
    </row>
    <row r="140" spans="2:7" s="32" customFormat="1" ht="15" customHeight="1" x14ac:dyDescent="0.25">
      <c r="B140" s="39"/>
      <c r="D140" s="59"/>
      <c r="E140" s="68"/>
      <c r="F140" s="95"/>
      <c r="G140" s="21"/>
    </row>
    <row r="141" spans="2:7" s="32" customFormat="1" ht="15" customHeight="1" x14ac:dyDescent="0.25">
      <c r="B141" s="39"/>
      <c r="D141" s="59"/>
      <c r="E141" s="68"/>
      <c r="F141" s="95"/>
      <c r="G141" s="21"/>
    </row>
    <row r="142" spans="2:7" s="32" customFormat="1" ht="15" customHeight="1" x14ac:dyDescent="0.25">
      <c r="B142" s="39"/>
      <c r="D142" s="59"/>
      <c r="E142" s="68"/>
      <c r="F142" s="95"/>
      <c r="G142" s="21"/>
    </row>
    <row r="143" spans="2:7" s="32" customFormat="1" ht="15" customHeight="1" x14ac:dyDescent="0.25">
      <c r="B143" s="39"/>
      <c r="D143" s="59"/>
      <c r="E143" s="68"/>
      <c r="F143" s="95"/>
      <c r="G143" s="21"/>
    </row>
    <row r="144" spans="2:7" s="32" customFormat="1" ht="15" customHeight="1" x14ac:dyDescent="0.25">
      <c r="B144" s="39"/>
      <c r="D144" s="59"/>
      <c r="E144" s="68"/>
      <c r="F144" s="95"/>
      <c r="G144" s="21"/>
    </row>
    <row r="145" spans="2:7" s="32" customFormat="1" ht="15" customHeight="1" x14ac:dyDescent="0.25">
      <c r="B145" s="39"/>
      <c r="D145" s="59"/>
      <c r="E145" s="68"/>
      <c r="F145" s="95"/>
      <c r="G145" s="21"/>
    </row>
    <row r="146" spans="2:7" s="32" customFormat="1" ht="15" customHeight="1" x14ac:dyDescent="0.25">
      <c r="B146" s="39"/>
      <c r="D146" s="59"/>
      <c r="E146" s="68"/>
      <c r="F146" s="95"/>
      <c r="G146" s="21"/>
    </row>
    <row r="147" spans="2:7" s="32" customFormat="1" ht="15" customHeight="1" x14ac:dyDescent="0.25">
      <c r="B147" s="39"/>
      <c r="D147" s="59"/>
      <c r="E147" s="68"/>
      <c r="F147" s="95"/>
      <c r="G147" s="21"/>
    </row>
    <row r="148" spans="2:7" s="32" customFormat="1" ht="15" customHeight="1" x14ac:dyDescent="0.25">
      <c r="B148" s="39"/>
      <c r="D148" s="59"/>
      <c r="E148" s="68"/>
      <c r="F148" s="95"/>
      <c r="G148" s="21"/>
    </row>
    <row r="149" spans="2:7" s="32" customFormat="1" ht="15" customHeight="1" x14ac:dyDescent="0.25">
      <c r="B149" s="39"/>
      <c r="D149" s="59"/>
      <c r="E149" s="68"/>
      <c r="F149" s="95"/>
      <c r="G149" s="21"/>
    </row>
    <row r="150" spans="2:7" s="32" customFormat="1" ht="15" customHeight="1" x14ac:dyDescent="0.25">
      <c r="B150" s="39"/>
      <c r="D150" s="59"/>
      <c r="E150" s="68"/>
      <c r="F150" s="95"/>
      <c r="G150" s="21"/>
    </row>
    <row r="151" spans="2:7" s="32" customFormat="1" ht="15" customHeight="1" x14ac:dyDescent="0.25">
      <c r="B151" s="39"/>
      <c r="D151" s="59"/>
      <c r="E151" s="68"/>
      <c r="F151" s="95"/>
      <c r="G151" s="21"/>
    </row>
    <row r="152" spans="2:7" s="32" customFormat="1" ht="15" customHeight="1" x14ac:dyDescent="0.25">
      <c r="B152" s="39"/>
      <c r="D152" s="59"/>
      <c r="E152" s="68"/>
      <c r="F152" s="95"/>
      <c r="G152" s="21"/>
    </row>
    <row r="153" spans="2:7" s="32" customFormat="1" ht="15" customHeight="1" x14ac:dyDescent="0.25">
      <c r="B153" s="39"/>
      <c r="D153" s="59"/>
      <c r="E153" s="68"/>
      <c r="F153" s="95"/>
      <c r="G153" s="21"/>
    </row>
    <row r="154" spans="2:7" s="32" customFormat="1" ht="15" customHeight="1" x14ac:dyDescent="0.25">
      <c r="B154" s="39"/>
      <c r="D154" s="59"/>
      <c r="E154" s="68"/>
      <c r="F154" s="95"/>
      <c r="G154" s="21"/>
    </row>
    <row r="155" spans="2:7" s="32" customFormat="1" ht="15" customHeight="1" x14ac:dyDescent="0.25">
      <c r="B155" s="39"/>
      <c r="D155" s="59"/>
      <c r="E155" s="68"/>
      <c r="F155" s="95"/>
      <c r="G155" s="21"/>
    </row>
    <row r="156" spans="2:7" s="32" customFormat="1" ht="15" customHeight="1" x14ac:dyDescent="0.25">
      <c r="B156" s="39"/>
      <c r="D156" s="59"/>
      <c r="E156" s="68"/>
      <c r="F156" s="95"/>
      <c r="G156" s="21"/>
    </row>
    <row r="157" spans="2:7" s="32" customFormat="1" ht="15" customHeight="1" x14ac:dyDescent="0.25">
      <c r="B157" s="39"/>
      <c r="D157" s="59"/>
      <c r="E157" s="68"/>
      <c r="F157" s="95"/>
      <c r="G157" s="21"/>
    </row>
    <row r="158" spans="2:7" s="32" customFormat="1" ht="15" customHeight="1" x14ac:dyDescent="0.25">
      <c r="B158" s="39"/>
      <c r="D158" s="59"/>
      <c r="E158" s="68"/>
      <c r="F158" s="95"/>
      <c r="G158" s="21"/>
    </row>
    <row r="159" spans="2:7" s="32" customFormat="1" ht="15" customHeight="1" x14ac:dyDescent="0.25">
      <c r="B159" s="39"/>
      <c r="D159" s="59"/>
      <c r="E159" s="68"/>
      <c r="F159" s="95"/>
      <c r="G159" s="21"/>
    </row>
    <row r="160" spans="2:7" s="32" customFormat="1" ht="15" customHeight="1" x14ac:dyDescent="0.25">
      <c r="B160" s="39"/>
      <c r="D160" s="59"/>
      <c r="E160" s="68"/>
      <c r="F160" s="95"/>
      <c r="G160" s="21"/>
    </row>
    <row r="161" spans="2:7" s="32" customFormat="1" ht="15" customHeight="1" x14ac:dyDescent="0.25">
      <c r="B161" s="39"/>
      <c r="D161" s="59"/>
      <c r="E161" s="68"/>
      <c r="F161" s="95"/>
      <c r="G161" s="21"/>
    </row>
    <row r="162" spans="2:7" s="32" customFormat="1" ht="15" customHeight="1" x14ac:dyDescent="0.25">
      <c r="B162" s="39"/>
      <c r="D162" s="59"/>
      <c r="E162" s="68"/>
      <c r="F162" s="95"/>
      <c r="G162" s="21"/>
    </row>
    <row r="163" spans="2:7" s="32" customFormat="1" ht="15" customHeight="1" x14ac:dyDescent="0.25">
      <c r="B163" s="39"/>
      <c r="D163" s="59"/>
      <c r="E163" s="68"/>
      <c r="F163" s="95"/>
      <c r="G163" s="21"/>
    </row>
    <row r="164" spans="2:7" s="32" customFormat="1" ht="15" customHeight="1" x14ac:dyDescent="0.25">
      <c r="B164" s="39"/>
      <c r="D164" s="59"/>
      <c r="E164" s="68"/>
      <c r="F164" s="95"/>
      <c r="G164" s="21"/>
    </row>
    <row r="165" spans="2:7" s="32" customFormat="1" ht="15" customHeight="1" x14ac:dyDescent="0.25">
      <c r="B165" s="39"/>
      <c r="D165" s="59"/>
      <c r="E165" s="68"/>
      <c r="F165" s="95"/>
      <c r="G165" s="21"/>
    </row>
    <row r="166" spans="2:7" s="32" customFormat="1" ht="15" customHeight="1" x14ac:dyDescent="0.25">
      <c r="B166" s="39"/>
      <c r="D166" s="59"/>
      <c r="E166" s="68"/>
      <c r="F166" s="95"/>
      <c r="G166" s="21"/>
    </row>
    <row r="167" spans="2:7" s="32" customFormat="1" ht="15" customHeight="1" x14ac:dyDescent="0.25">
      <c r="B167" s="39"/>
      <c r="D167" s="59"/>
      <c r="E167" s="68"/>
      <c r="F167" s="95"/>
      <c r="G167" s="21"/>
    </row>
    <row r="168" spans="2:7" s="32" customFormat="1" ht="15" customHeight="1" x14ac:dyDescent="0.25">
      <c r="B168" s="39"/>
      <c r="D168" s="59"/>
      <c r="E168" s="68"/>
      <c r="F168" s="95"/>
      <c r="G168" s="21"/>
    </row>
    <row r="169" spans="2:7" s="32" customFormat="1" ht="15" customHeight="1" x14ac:dyDescent="0.25">
      <c r="B169" s="39"/>
      <c r="D169" s="59"/>
      <c r="E169" s="68"/>
      <c r="F169" s="95"/>
      <c r="G169" s="21"/>
    </row>
    <row r="170" spans="2:7" s="32" customFormat="1" ht="15" customHeight="1" x14ac:dyDescent="0.25">
      <c r="B170" s="39"/>
      <c r="D170" s="59"/>
      <c r="E170" s="68"/>
      <c r="F170" s="95"/>
      <c r="G170" s="21"/>
    </row>
    <row r="171" spans="2:7" s="32" customFormat="1" ht="15" customHeight="1" x14ac:dyDescent="0.25">
      <c r="B171" s="39"/>
      <c r="D171" s="59"/>
      <c r="E171" s="68"/>
      <c r="F171" s="95"/>
      <c r="G171" s="21"/>
    </row>
    <row r="172" spans="2:7" s="32" customFormat="1" ht="15" customHeight="1" x14ac:dyDescent="0.25">
      <c r="B172" s="39"/>
      <c r="D172" s="59"/>
      <c r="E172" s="68"/>
      <c r="F172" s="95"/>
      <c r="G172" s="21"/>
    </row>
    <row r="173" spans="2:7" s="32" customFormat="1" ht="15" customHeight="1" x14ac:dyDescent="0.25">
      <c r="B173" s="39"/>
      <c r="D173" s="59"/>
      <c r="E173" s="68"/>
      <c r="F173" s="95"/>
      <c r="G173" s="21"/>
    </row>
    <row r="174" spans="2:7" s="32" customFormat="1" ht="15" customHeight="1" x14ac:dyDescent="0.25">
      <c r="B174" s="39"/>
      <c r="D174" s="59"/>
      <c r="E174" s="68"/>
      <c r="F174" s="95"/>
      <c r="G174" s="21"/>
    </row>
    <row r="175" spans="2:7" s="32" customFormat="1" ht="15" customHeight="1" x14ac:dyDescent="0.25">
      <c r="B175" s="39"/>
      <c r="D175" s="59"/>
      <c r="E175" s="68"/>
      <c r="F175" s="95"/>
      <c r="G175" s="21"/>
    </row>
    <row r="176" spans="2:7" s="32" customFormat="1" ht="15" customHeight="1" x14ac:dyDescent="0.25">
      <c r="B176" s="39"/>
      <c r="D176" s="59"/>
      <c r="E176" s="68"/>
      <c r="F176" s="95"/>
      <c r="G176" s="21"/>
    </row>
    <row r="177" spans="2:7" s="32" customFormat="1" ht="15" customHeight="1" x14ac:dyDescent="0.25">
      <c r="B177" s="39"/>
      <c r="D177" s="59"/>
      <c r="E177" s="68"/>
      <c r="F177" s="95"/>
      <c r="G177" s="21"/>
    </row>
    <row r="178" spans="2:7" s="32" customFormat="1" ht="15" customHeight="1" x14ac:dyDescent="0.25">
      <c r="B178" s="39"/>
      <c r="D178" s="59"/>
      <c r="E178" s="68"/>
      <c r="F178" s="95"/>
      <c r="G178" s="21"/>
    </row>
    <row r="179" spans="2:7" s="32" customFormat="1" ht="15" customHeight="1" x14ac:dyDescent="0.25">
      <c r="B179" s="39"/>
      <c r="D179" s="59"/>
      <c r="E179" s="68"/>
      <c r="F179" s="95"/>
      <c r="G179" s="21"/>
    </row>
    <row r="180" spans="2:7" s="32" customFormat="1" ht="15" customHeight="1" x14ac:dyDescent="0.25">
      <c r="B180" s="39"/>
      <c r="D180" s="59"/>
      <c r="E180" s="68"/>
      <c r="F180" s="95"/>
      <c r="G180" s="21"/>
    </row>
    <row r="181" spans="2:7" s="32" customFormat="1" ht="15" customHeight="1" x14ac:dyDescent="0.25">
      <c r="B181" s="39"/>
      <c r="D181" s="59"/>
      <c r="E181" s="68"/>
      <c r="F181" s="95"/>
      <c r="G181" s="21"/>
    </row>
    <row r="182" spans="2:7" s="32" customFormat="1" ht="15" customHeight="1" x14ac:dyDescent="0.25">
      <c r="B182" s="39"/>
      <c r="D182" s="59"/>
      <c r="E182" s="68"/>
      <c r="F182" s="95"/>
      <c r="G182" s="21"/>
    </row>
    <row r="183" spans="2:7" s="32" customFormat="1" ht="15" customHeight="1" x14ac:dyDescent="0.25">
      <c r="B183" s="39"/>
      <c r="D183" s="59"/>
      <c r="E183" s="68"/>
      <c r="F183" s="95"/>
      <c r="G183" s="21"/>
    </row>
    <row r="184" spans="2:7" s="32" customFormat="1" ht="15" customHeight="1" x14ac:dyDescent="0.25">
      <c r="B184" s="39"/>
      <c r="D184" s="59"/>
      <c r="E184" s="68"/>
      <c r="F184" s="95"/>
      <c r="G184" s="21"/>
    </row>
    <row r="185" spans="2:7" s="32" customFormat="1" ht="15" customHeight="1" x14ac:dyDescent="0.25">
      <c r="B185" s="39"/>
      <c r="D185" s="59"/>
      <c r="E185" s="68"/>
      <c r="F185" s="95"/>
      <c r="G185" s="21"/>
    </row>
    <row r="186" spans="2:7" s="32" customFormat="1" ht="15" customHeight="1" x14ac:dyDescent="0.25">
      <c r="B186" s="39"/>
      <c r="D186" s="59"/>
      <c r="E186" s="68"/>
      <c r="F186" s="95"/>
      <c r="G186" s="21"/>
    </row>
    <row r="187" spans="2:7" s="32" customFormat="1" ht="15" customHeight="1" x14ac:dyDescent="0.25">
      <c r="B187" s="39"/>
      <c r="D187" s="59"/>
      <c r="E187" s="68"/>
      <c r="F187" s="95"/>
      <c r="G187" s="21"/>
    </row>
    <row r="188" spans="2:7" s="32" customFormat="1" ht="15" customHeight="1" x14ac:dyDescent="0.25">
      <c r="B188" s="39"/>
      <c r="D188" s="59"/>
      <c r="E188" s="68"/>
      <c r="F188" s="95"/>
      <c r="G188" s="21"/>
    </row>
    <row r="189" spans="2:7" s="32" customFormat="1" ht="15" customHeight="1" x14ac:dyDescent="0.25">
      <c r="B189" s="39"/>
      <c r="D189" s="59"/>
      <c r="E189" s="68"/>
      <c r="F189" s="95"/>
      <c r="G189" s="21"/>
    </row>
    <row r="190" spans="2:7" s="32" customFormat="1" ht="15" customHeight="1" x14ac:dyDescent="0.25">
      <c r="B190" s="39"/>
      <c r="D190" s="59"/>
      <c r="E190" s="68"/>
      <c r="F190" s="95"/>
      <c r="G190" s="21"/>
    </row>
    <row r="191" spans="2:7" s="32" customFormat="1" ht="15" customHeight="1" x14ac:dyDescent="0.25">
      <c r="B191" s="39"/>
      <c r="D191" s="59"/>
      <c r="E191" s="68"/>
      <c r="F191" s="95"/>
      <c r="G191" s="21"/>
    </row>
    <row r="192" spans="2:7" s="32" customFormat="1" ht="15" customHeight="1" x14ac:dyDescent="0.25">
      <c r="B192" s="39"/>
      <c r="D192" s="59"/>
      <c r="E192" s="68"/>
      <c r="F192" s="95"/>
      <c r="G192" s="21"/>
    </row>
    <row r="193" spans="2:7" s="32" customFormat="1" ht="15" customHeight="1" x14ac:dyDescent="0.25">
      <c r="B193" s="39"/>
      <c r="D193" s="59"/>
      <c r="E193" s="68"/>
      <c r="F193" s="95"/>
      <c r="G193" s="21"/>
    </row>
    <row r="194" spans="2:7" s="32" customFormat="1" ht="15" customHeight="1" x14ac:dyDescent="0.25">
      <c r="B194" s="39"/>
      <c r="D194" s="59"/>
      <c r="E194" s="68"/>
      <c r="F194" s="95"/>
      <c r="G194" s="21"/>
    </row>
    <row r="195" spans="2:7" s="32" customFormat="1" ht="15" customHeight="1" x14ac:dyDescent="0.25">
      <c r="B195" s="39"/>
      <c r="D195" s="59"/>
      <c r="E195" s="68"/>
      <c r="F195" s="95"/>
      <c r="G195" s="21"/>
    </row>
    <row r="196" spans="2:7" s="32" customFormat="1" ht="15" customHeight="1" x14ac:dyDescent="0.25">
      <c r="B196" s="39"/>
      <c r="D196" s="59"/>
      <c r="E196" s="68"/>
      <c r="F196" s="95"/>
      <c r="G196" s="21"/>
    </row>
    <row r="197" spans="2:7" s="32" customFormat="1" ht="15" customHeight="1" x14ac:dyDescent="0.25">
      <c r="B197" s="39"/>
      <c r="D197" s="59"/>
      <c r="E197" s="68"/>
      <c r="F197" s="95"/>
      <c r="G197" s="21"/>
    </row>
    <row r="198" spans="2:7" s="32" customFormat="1" ht="15" customHeight="1" x14ac:dyDescent="0.25">
      <c r="B198" s="39"/>
      <c r="D198" s="59"/>
      <c r="E198" s="68"/>
      <c r="F198" s="95"/>
      <c r="G198" s="21"/>
    </row>
    <row r="199" spans="2:7" s="32" customFormat="1" ht="15" customHeight="1" x14ac:dyDescent="0.25">
      <c r="B199" s="39"/>
      <c r="D199" s="59"/>
      <c r="E199" s="68"/>
      <c r="F199" s="95"/>
      <c r="G199" s="21"/>
    </row>
    <row r="200" spans="2:7" s="32" customFormat="1" ht="15" customHeight="1" x14ac:dyDescent="0.25">
      <c r="B200" s="39"/>
      <c r="D200" s="59"/>
      <c r="E200" s="68"/>
      <c r="F200" s="95"/>
      <c r="G200" s="21"/>
    </row>
    <row r="201" spans="2:7" s="32" customFormat="1" ht="15" customHeight="1" x14ac:dyDescent="0.25">
      <c r="B201" s="39"/>
      <c r="D201" s="59"/>
      <c r="E201" s="68"/>
      <c r="F201" s="95"/>
      <c r="G201" s="21"/>
    </row>
    <row r="202" spans="2:7" s="32" customFormat="1" ht="15" customHeight="1" x14ac:dyDescent="0.25">
      <c r="B202" s="39"/>
      <c r="D202" s="59"/>
      <c r="E202" s="68"/>
      <c r="F202" s="95"/>
      <c r="G202" s="21"/>
    </row>
    <row r="203" spans="2:7" s="32" customFormat="1" ht="15" customHeight="1" x14ac:dyDescent="0.25">
      <c r="B203" s="39"/>
      <c r="D203" s="59"/>
      <c r="E203" s="68"/>
      <c r="F203" s="95"/>
      <c r="G203" s="21"/>
    </row>
    <row r="204" spans="2:7" s="32" customFormat="1" ht="15" customHeight="1" x14ac:dyDescent="0.25">
      <c r="B204" s="39"/>
      <c r="D204" s="59"/>
      <c r="E204" s="68"/>
      <c r="F204" s="95"/>
      <c r="G204" s="21"/>
    </row>
    <row r="205" spans="2:7" s="32" customFormat="1" ht="15" customHeight="1" x14ac:dyDescent="0.25">
      <c r="B205" s="39"/>
      <c r="D205" s="59"/>
      <c r="E205" s="68"/>
      <c r="F205" s="95"/>
      <c r="G205" s="21"/>
    </row>
    <row r="206" spans="2:7" s="32" customFormat="1" ht="15" customHeight="1" x14ac:dyDescent="0.25">
      <c r="B206" s="39"/>
      <c r="D206" s="59"/>
      <c r="E206" s="68"/>
      <c r="F206" s="95"/>
      <c r="G206" s="21"/>
    </row>
    <row r="207" spans="2:7" s="32" customFormat="1" ht="15" customHeight="1" x14ac:dyDescent="0.25">
      <c r="B207" s="39"/>
      <c r="D207" s="59"/>
      <c r="E207" s="68"/>
      <c r="F207" s="95"/>
      <c r="G207" s="21"/>
    </row>
    <row r="208" spans="2:7" s="32" customFormat="1" ht="15" customHeight="1" x14ac:dyDescent="0.25">
      <c r="B208" s="39"/>
      <c r="D208" s="59"/>
      <c r="E208" s="68"/>
      <c r="F208" s="95"/>
      <c r="G208" s="21"/>
    </row>
    <row r="209" spans="2:7" s="32" customFormat="1" ht="15" customHeight="1" x14ac:dyDescent="0.25">
      <c r="B209" s="39"/>
      <c r="D209" s="59"/>
      <c r="E209" s="68"/>
      <c r="F209" s="95"/>
      <c r="G209" s="21"/>
    </row>
    <row r="210" spans="2:7" s="32" customFormat="1" ht="15" customHeight="1" x14ac:dyDescent="0.25">
      <c r="B210" s="39"/>
      <c r="D210" s="59"/>
      <c r="E210" s="68"/>
      <c r="F210" s="95"/>
      <c r="G210" s="21"/>
    </row>
    <row r="211" spans="2:7" s="32" customFormat="1" ht="15" customHeight="1" x14ac:dyDescent="0.25">
      <c r="B211" s="39"/>
      <c r="D211" s="59"/>
      <c r="E211" s="68"/>
      <c r="F211" s="95"/>
      <c r="G211" s="21"/>
    </row>
    <row r="212" spans="2:7" s="32" customFormat="1" ht="15" customHeight="1" x14ac:dyDescent="0.25">
      <c r="B212" s="39"/>
      <c r="D212" s="59"/>
      <c r="E212" s="68"/>
      <c r="F212" s="95"/>
      <c r="G212" s="21"/>
    </row>
    <row r="213" spans="2:7" s="32" customFormat="1" ht="15" customHeight="1" x14ac:dyDescent="0.25">
      <c r="B213" s="39"/>
      <c r="D213" s="59"/>
      <c r="E213" s="68"/>
      <c r="F213" s="95"/>
      <c r="G213" s="21"/>
    </row>
    <row r="214" spans="2:7" s="32" customFormat="1" ht="15" customHeight="1" x14ac:dyDescent="0.25">
      <c r="B214" s="39"/>
      <c r="D214" s="59"/>
      <c r="E214" s="68"/>
      <c r="F214" s="95"/>
      <c r="G214" s="21"/>
    </row>
    <row r="215" spans="2:7" s="32" customFormat="1" ht="15" customHeight="1" x14ac:dyDescent="0.25">
      <c r="B215" s="39"/>
      <c r="D215" s="59"/>
      <c r="E215" s="68"/>
      <c r="F215" s="95"/>
      <c r="G215" s="21"/>
    </row>
    <row r="216" spans="2:7" s="32" customFormat="1" ht="15" customHeight="1" x14ac:dyDescent="0.25">
      <c r="B216" s="39"/>
      <c r="D216" s="59"/>
      <c r="E216" s="68"/>
      <c r="F216" s="95"/>
      <c r="G216" s="21"/>
    </row>
    <row r="217" spans="2:7" s="32" customFormat="1" ht="15" customHeight="1" x14ac:dyDescent="0.25">
      <c r="B217" s="39"/>
      <c r="D217" s="59"/>
      <c r="E217" s="68"/>
      <c r="F217" s="95"/>
      <c r="G217" s="21"/>
    </row>
    <row r="218" spans="2:7" s="32" customFormat="1" ht="15" customHeight="1" x14ac:dyDescent="0.25">
      <c r="B218" s="39"/>
      <c r="D218" s="59"/>
      <c r="E218" s="68"/>
      <c r="F218" s="95"/>
      <c r="G218" s="21"/>
    </row>
    <row r="219" spans="2:7" s="32" customFormat="1" ht="15" customHeight="1" x14ac:dyDescent="0.25">
      <c r="B219" s="39"/>
      <c r="D219" s="59"/>
      <c r="E219" s="68"/>
      <c r="F219" s="95"/>
      <c r="G219" s="21"/>
    </row>
    <row r="220" spans="2:7" s="32" customFormat="1" ht="15" customHeight="1" x14ac:dyDescent="0.25">
      <c r="B220" s="39"/>
      <c r="D220" s="59"/>
      <c r="E220" s="68"/>
      <c r="F220" s="95"/>
      <c r="G220" s="21"/>
    </row>
    <row r="221" spans="2:7" s="32" customFormat="1" ht="15" customHeight="1" x14ac:dyDescent="0.25">
      <c r="B221" s="39"/>
      <c r="D221" s="59"/>
      <c r="E221" s="68"/>
      <c r="F221" s="95"/>
      <c r="G221" s="21"/>
    </row>
    <row r="222" spans="2:7" s="32" customFormat="1" ht="15" customHeight="1" x14ac:dyDescent="0.25">
      <c r="B222" s="39"/>
      <c r="D222" s="59"/>
      <c r="E222" s="68"/>
      <c r="F222" s="95"/>
      <c r="G222" s="21"/>
    </row>
    <row r="223" spans="2:7" s="32" customFormat="1" ht="15" customHeight="1" x14ac:dyDescent="0.25">
      <c r="B223" s="39"/>
      <c r="D223" s="59"/>
      <c r="E223" s="68"/>
      <c r="F223" s="95"/>
      <c r="G223" s="21"/>
    </row>
    <row r="224" spans="2:7" s="32" customFormat="1" ht="15" customHeight="1" x14ac:dyDescent="0.25">
      <c r="B224" s="39"/>
      <c r="D224" s="59"/>
      <c r="E224" s="68"/>
      <c r="F224" s="95"/>
      <c r="G224" s="21"/>
    </row>
    <row r="225" spans="2:7" s="32" customFormat="1" ht="15" customHeight="1" x14ac:dyDescent="0.25">
      <c r="B225" s="39"/>
      <c r="D225" s="59"/>
      <c r="E225" s="68"/>
      <c r="F225" s="95"/>
      <c r="G225" s="21"/>
    </row>
    <row r="226" spans="2:7" s="32" customFormat="1" ht="15" customHeight="1" x14ac:dyDescent="0.25">
      <c r="B226" s="39"/>
      <c r="D226" s="59"/>
      <c r="E226" s="68"/>
      <c r="F226" s="95"/>
      <c r="G226" s="21"/>
    </row>
    <row r="227" spans="2:7" s="32" customFormat="1" ht="15" customHeight="1" x14ac:dyDescent="0.25">
      <c r="B227" s="39"/>
      <c r="D227" s="59"/>
      <c r="E227" s="68"/>
      <c r="F227" s="95"/>
      <c r="G227" s="21"/>
    </row>
    <row r="228" spans="2:7" s="32" customFormat="1" ht="15" customHeight="1" x14ac:dyDescent="0.25">
      <c r="B228" s="39"/>
      <c r="D228" s="59"/>
      <c r="E228" s="68"/>
      <c r="F228" s="95"/>
      <c r="G228" s="21"/>
    </row>
    <row r="229" spans="2:7" s="32" customFormat="1" ht="15" customHeight="1" x14ac:dyDescent="0.25">
      <c r="B229" s="39"/>
      <c r="D229" s="59"/>
      <c r="E229" s="68"/>
      <c r="F229" s="95"/>
      <c r="G229" s="21"/>
    </row>
    <row r="230" spans="2:7" s="32" customFormat="1" ht="15" customHeight="1" x14ac:dyDescent="0.25">
      <c r="B230" s="39"/>
      <c r="D230" s="59"/>
      <c r="E230" s="68"/>
      <c r="F230" s="95"/>
      <c r="G230" s="21"/>
    </row>
    <row r="231" spans="2:7" s="32" customFormat="1" ht="15" customHeight="1" x14ac:dyDescent="0.25">
      <c r="B231" s="39"/>
      <c r="D231" s="59"/>
      <c r="E231" s="68"/>
      <c r="F231" s="95"/>
      <c r="G231" s="21"/>
    </row>
    <row r="232" spans="2:7" s="32" customFormat="1" ht="15" customHeight="1" x14ac:dyDescent="0.25">
      <c r="B232" s="39"/>
      <c r="D232" s="59"/>
      <c r="E232" s="68"/>
      <c r="F232" s="95"/>
      <c r="G232" s="21"/>
    </row>
    <row r="233" spans="2:7" s="32" customFormat="1" ht="15" customHeight="1" x14ac:dyDescent="0.25">
      <c r="B233" s="39"/>
      <c r="D233" s="59"/>
      <c r="E233" s="68"/>
      <c r="F233" s="95"/>
      <c r="G233" s="21"/>
    </row>
    <row r="234" spans="2:7" s="32" customFormat="1" ht="15" customHeight="1" x14ac:dyDescent="0.25">
      <c r="B234" s="39"/>
      <c r="D234" s="59"/>
      <c r="E234" s="68"/>
      <c r="F234" s="95"/>
      <c r="G234" s="21"/>
    </row>
    <row r="235" spans="2:7" s="32" customFormat="1" ht="15" customHeight="1" x14ac:dyDescent="0.25">
      <c r="B235" s="39"/>
      <c r="D235" s="59"/>
      <c r="E235" s="68"/>
      <c r="F235" s="95"/>
      <c r="G235" s="21"/>
    </row>
    <row r="236" spans="2:7" s="32" customFormat="1" ht="15" customHeight="1" x14ac:dyDescent="0.25">
      <c r="B236" s="39"/>
      <c r="D236" s="59"/>
      <c r="E236" s="68"/>
      <c r="F236" s="95"/>
      <c r="G236" s="21"/>
    </row>
    <row r="237" spans="2:7" s="32" customFormat="1" ht="15" customHeight="1" x14ac:dyDescent="0.25">
      <c r="B237" s="39"/>
      <c r="D237" s="59"/>
      <c r="E237" s="68"/>
      <c r="F237" s="95"/>
      <c r="G237" s="21"/>
    </row>
    <row r="238" spans="2:7" s="32" customFormat="1" ht="15" customHeight="1" x14ac:dyDescent="0.25">
      <c r="B238" s="39"/>
      <c r="D238" s="59"/>
      <c r="E238" s="68"/>
      <c r="F238" s="95"/>
      <c r="G238" s="21"/>
    </row>
    <row r="239" spans="2:7" s="32" customFormat="1" ht="15" customHeight="1" x14ac:dyDescent="0.25">
      <c r="B239" s="39"/>
      <c r="D239" s="59"/>
      <c r="E239" s="68"/>
      <c r="F239" s="95"/>
      <c r="G239" s="21"/>
    </row>
    <row r="240" spans="2:7" s="32" customFormat="1" ht="15" customHeight="1" x14ac:dyDescent="0.25">
      <c r="B240" s="39"/>
      <c r="D240" s="59"/>
      <c r="E240" s="68"/>
      <c r="F240" s="95"/>
      <c r="G240" s="21"/>
    </row>
    <row r="241" spans="2:7" s="32" customFormat="1" ht="15" customHeight="1" x14ac:dyDescent="0.25">
      <c r="B241" s="39"/>
      <c r="D241" s="59"/>
      <c r="E241" s="68"/>
      <c r="F241" s="95"/>
      <c r="G241" s="21"/>
    </row>
    <row r="242" spans="2:7" s="32" customFormat="1" ht="15" customHeight="1" x14ac:dyDescent="0.25">
      <c r="B242" s="39"/>
      <c r="D242" s="59"/>
      <c r="E242" s="68"/>
      <c r="F242" s="95"/>
      <c r="G242" s="21"/>
    </row>
    <row r="243" spans="2:7" s="32" customFormat="1" ht="15" customHeight="1" x14ac:dyDescent="0.25">
      <c r="B243" s="39"/>
      <c r="D243" s="59"/>
      <c r="E243" s="68"/>
      <c r="F243" s="95"/>
      <c r="G243" s="21"/>
    </row>
    <row r="244" spans="2:7" s="32" customFormat="1" ht="15" customHeight="1" x14ac:dyDescent="0.25">
      <c r="B244" s="39"/>
      <c r="D244" s="59"/>
      <c r="E244" s="68"/>
      <c r="F244" s="95"/>
      <c r="G244" s="21"/>
    </row>
    <row r="245" spans="2:7" s="32" customFormat="1" ht="15" customHeight="1" x14ac:dyDescent="0.25">
      <c r="B245" s="39"/>
      <c r="D245" s="59"/>
      <c r="E245" s="68"/>
      <c r="F245" s="95"/>
      <c r="G245" s="21"/>
    </row>
    <row r="246" spans="2:7" s="32" customFormat="1" ht="15" customHeight="1" x14ac:dyDescent="0.25">
      <c r="B246" s="39"/>
      <c r="D246" s="59"/>
      <c r="E246" s="68"/>
      <c r="F246" s="95"/>
      <c r="G246" s="21"/>
    </row>
    <row r="247" spans="2:7" s="32" customFormat="1" x14ac:dyDescent="0.25">
      <c r="B247" s="39"/>
      <c r="D247" s="59"/>
      <c r="E247" s="68"/>
      <c r="F247" s="95"/>
      <c r="G247" s="21"/>
    </row>
    <row r="248" spans="2:7" s="32" customFormat="1" x14ac:dyDescent="0.25">
      <c r="B248" s="39"/>
      <c r="D248" s="59"/>
      <c r="E248" s="68"/>
      <c r="F248" s="95"/>
      <c r="G248" s="21"/>
    </row>
    <row r="249" spans="2:7" s="32" customFormat="1" x14ac:dyDescent="0.25">
      <c r="B249" s="39"/>
      <c r="D249" s="59"/>
      <c r="E249" s="68"/>
      <c r="F249" s="95"/>
      <c r="G249" s="21"/>
    </row>
    <row r="250" spans="2:7" s="32" customFormat="1" x14ac:dyDescent="0.25">
      <c r="B250" s="39"/>
      <c r="D250" s="59"/>
      <c r="E250" s="68"/>
      <c r="F250" s="95"/>
      <c r="G250" s="21"/>
    </row>
    <row r="251" spans="2:7" s="32" customFormat="1" x14ac:dyDescent="0.25">
      <c r="B251" s="39"/>
      <c r="D251" s="59"/>
      <c r="E251" s="68"/>
      <c r="F251" s="95"/>
      <c r="G251" s="21"/>
    </row>
    <row r="252" spans="2:7" s="32" customFormat="1" x14ac:dyDescent="0.25">
      <c r="B252" s="39"/>
      <c r="D252" s="59"/>
      <c r="E252" s="68"/>
      <c r="F252" s="95"/>
      <c r="G252" s="21"/>
    </row>
    <row r="253" spans="2:7" s="32" customFormat="1" x14ac:dyDescent="0.25">
      <c r="B253" s="39"/>
      <c r="D253" s="59"/>
      <c r="E253" s="68"/>
      <c r="F253" s="95"/>
      <c r="G253" s="21"/>
    </row>
    <row r="254" spans="2:7" s="32" customFormat="1" x14ac:dyDescent="0.25">
      <c r="B254" s="39"/>
      <c r="D254" s="59"/>
      <c r="E254" s="68"/>
      <c r="F254" s="95"/>
      <c r="G254" s="21"/>
    </row>
    <row r="255" spans="2:7" s="32" customFormat="1" x14ac:dyDescent="0.25">
      <c r="B255" s="39"/>
      <c r="D255" s="59"/>
      <c r="E255" s="68"/>
      <c r="F255" s="95"/>
      <c r="G255" s="21"/>
    </row>
    <row r="256" spans="2:7" s="32" customFormat="1" x14ac:dyDescent="0.25">
      <c r="B256" s="39"/>
      <c r="D256" s="59"/>
      <c r="E256" s="68"/>
      <c r="F256" s="95"/>
      <c r="G256" s="21"/>
    </row>
    <row r="257" spans="2:7" s="32" customFormat="1" x14ac:dyDescent="0.25">
      <c r="B257" s="39"/>
      <c r="D257" s="59"/>
      <c r="E257" s="68"/>
      <c r="F257" s="95"/>
      <c r="G257" s="21"/>
    </row>
    <row r="258" spans="2:7" s="32" customFormat="1" x14ac:dyDescent="0.25">
      <c r="B258" s="39"/>
      <c r="D258" s="59"/>
      <c r="E258" s="68"/>
      <c r="F258" s="95"/>
      <c r="G258" s="21"/>
    </row>
    <row r="259" spans="2:7" s="32" customFormat="1" x14ac:dyDescent="0.25">
      <c r="B259" s="39"/>
      <c r="D259" s="59"/>
      <c r="E259" s="68"/>
      <c r="F259" s="95"/>
      <c r="G259" s="21"/>
    </row>
    <row r="260" spans="2:7" s="32" customFormat="1" x14ac:dyDescent="0.25">
      <c r="B260" s="39"/>
      <c r="D260" s="59"/>
      <c r="E260" s="68"/>
      <c r="F260" s="95"/>
      <c r="G260" s="21"/>
    </row>
    <row r="261" spans="2:7" s="32" customFormat="1" x14ac:dyDescent="0.25">
      <c r="B261" s="39"/>
      <c r="D261" s="59"/>
      <c r="E261" s="68"/>
      <c r="F261" s="95"/>
      <c r="G261" s="21"/>
    </row>
    <row r="262" spans="2:7" s="32" customFormat="1" x14ac:dyDescent="0.25">
      <c r="B262" s="39"/>
      <c r="D262" s="59"/>
      <c r="E262" s="68"/>
      <c r="F262" s="95"/>
      <c r="G262" s="21"/>
    </row>
    <row r="263" spans="2:7" s="32" customFormat="1" x14ac:dyDescent="0.25">
      <c r="B263" s="39"/>
      <c r="D263" s="59"/>
      <c r="E263" s="68"/>
      <c r="F263" s="95"/>
      <c r="G263" s="21"/>
    </row>
    <row r="264" spans="2:7" s="32" customFormat="1" x14ac:dyDescent="0.25">
      <c r="B264" s="39"/>
      <c r="D264" s="59"/>
      <c r="E264" s="68"/>
      <c r="F264" s="95"/>
      <c r="G264" s="21"/>
    </row>
    <row r="265" spans="2:7" s="32" customFormat="1" x14ac:dyDescent="0.25">
      <c r="B265" s="39"/>
      <c r="D265" s="59"/>
      <c r="E265" s="68"/>
      <c r="F265" s="95"/>
      <c r="G265" s="21"/>
    </row>
    <row r="266" spans="2:7" s="32" customFormat="1" x14ac:dyDescent="0.25">
      <c r="B266" s="39"/>
      <c r="D266" s="59"/>
      <c r="E266" s="68"/>
      <c r="F266" s="95"/>
      <c r="G266" s="21"/>
    </row>
    <row r="267" spans="2:7" s="32" customFormat="1" x14ac:dyDescent="0.25">
      <c r="B267" s="39"/>
      <c r="D267" s="59"/>
      <c r="E267" s="68"/>
      <c r="F267" s="95"/>
      <c r="G267" s="21"/>
    </row>
    <row r="268" spans="2:7" s="32" customFormat="1" x14ac:dyDescent="0.25">
      <c r="B268" s="39"/>
      <c r="D268" s="59"/>
      <c r="E268" s="68"/>
      <c r="F268" s="95"/>
      <c r="G268" s="21"/>
    </row>
    <row r="269" spans="2:7" s="32" customFormat="1" x14ac:dyDescent="0.25">
      <c r="B269" s="39"/>
      <c r="D269" s="59"/>
      <c r="E269" s="68"/>
      <c r="F269" s="95"/>
      <c r="G269" s="21"/>
    </row>
    <row r="270" spans="2:7" s="32" customFormat="1" x14ac:dyDescent="0.25">
      <c r="B270" s="39"/>
      <c r="D270" s="59"/>
      <c r="E270" s="68"/>
      <c r="F270" s="95"/>
      <c r="G270" s="21"/>
    </row>
    <row r="271" spans="2:7" s="32" customFormat="1" x14ac:dyDescent="0.25">
      <c r="B271" s="39"/>
      <c r="D271" s="59"/>
      <c r="E271" s="68"/>
      <c r="F271" s="95"/>
      <c r="G271" s="21"/>
    </row>
    <row r="272" spans="2:7" s="32" customFormat="1" x14ac:dyDescent="0.25">
      <c r="B272" s="39"/>
      <c r="D272" s="59"/>
      <c r="E272" s="68"/>
      <c r="F272" s="95"/>
      <c r="G272" s="21"/>
    </row>
    <row r="273" spans="2:7" s="32" customFormat="1" x14ac:dyDescent="0.25">
      <c r="B273" s="39"/>
      <c r="D273" s="59"/>
      <c r="E273" s="68"/>
      <c r="F273" s="95"/>
      <c r="G273" s="21"/>
    </row>
    <row r="274" spans="2:7" s="32" customFormat="1" x14ac:dyDescent="0.25">
      <c r="B274" s="39"/>
      <c r="D274" s="59"/>
      <c r="E274" s="68"/>
      <c r="F274" s="95"/>
      <c r="G274" s="21"/>
    </row>
    <row r="275" spans="2:7" s="32" customFormat="1" x14ac:dyDescent="0.25">
      <c r="B275" s="39"/>
      <c r="D275" s="59"/>
      <c r="E275" s="68"/>
      <c r="F275" s="95"/>
      <c r="G275" s="21"/>
    </row>
    <row r="276" spans="2:7" s="32" customFormat="1" x14ac:dyDescent="0.25">
      <c r="B276" s="39"/>
      <c r="D276" s="59"/>
      <c r="E276" s="68"/>
      <c r="F276" s="95"/>
      <c r="G276" s="21"/>
    </row>
    <row r="277" spans="2:7" s="32" customFormat="1" x14ac:dyDescent="0.25">
      <c r="B277" s="39"/>
      <c r="D277" s="59"/>
      <c r="E277" s="68"/>
      <c r="F277" s="95"/>
      <c r="G277" s="21"/>
    </row>
    <row r="278" spans="2:7" s="32" customFormat="1" x14ac:dyDescent="0.25">
      <c r="B278" s="39"/>
      <c r="D278" s="59"/>
      <c r="E278" s="68"/>
      <c r="F278" s="95"/>
      <c r="G278" s="21"/>
    </row>
    <row r="279" spans="2:7" s="32" customFormat="1" x14ac:dyDescent="0.25">
      <c r="B279" s="39"/>
      <c r="D279" s="59"/>
      <c r="E279" s="68"/>
      <c r="F279" s="95"/>
      <c r="G279" s="21"/>
    </row>
    <row r="280" spans="2:7" s="32" customFormat="1" x14ac:dyDescent="0.25">
      <c r="B280" s="39"/>
      <c r="D280" s="59"/>
      <c r="E280" s="68"/>
      <c r="F280" s="95"/>
      <c r="G280" s="21"/>
    </row>
    <row r="281" spans="2:7" s="32" customFormat="1" x14ac:dyDescent="0.25">
      <c r="B281" s="39"/>
      <c r="D281" s="59"/>
      <c r="E281" s="68"/>
      <c r="F281" s="95"/>
      <c r="G281" s="21"/>
    </row>
    <row r="282" spans="2:7" s="32" customFormat="1" x14ac:dyDescent="0.25">
      <c r="B282" s="39"/>
      <c r="D282" s="59"/>
      <c r="E282" s="68"/>
      <c r="F282" s="95"/>
      <c r="G282" s="21"/>
    </row>
    <row r="283" spans="2:7" s="32" customFormat="1" x14ac:dyDescent="0.25">
      <c r="B283" s="39"/>
      <c r="D283" s="59"/>
      <c r="E283" s="68"/>
      <c r="F283" s="95"/>
      <c r="G283" s="21"/>
    </row>
    <row r="284" spans="2:7" s="32" customFormat="1" x14ac:dyDescent="0.25">
      <c r="B284" s="39"/>
      <c r="D284" s="59"/>
      <c r="E284" s="68"/>
      <c r="F284" s="95"/>
      <c r="G284" s="21"/>
    </row>
    <row r="285" spans="2:7" s="32" customFormat="1" x14ac:dyDescent="0.25">
      <c r="B285" s="39"/>
      <c r="D285" s="59"/>
      <c r="E285" s="68"/>
      <c r="F285" s="95"/>
      <c r="G285" s="21"/>
    </row>
    <row r="286" spans="2:7" s="32" customFormat="1" x14ac:dyDescent="0.25">
      <c r="B286" s="39"/>
      <c r="D286" s="59"/>
      <c r="E286" s="68"/>
      <c r="F286" s="95"/>
      <c r="G286" s="21"/>
    </row>
    <row r="287" spans="2:7" s="32" customFormat="1" x14ac:dyDescent="0.25">
      <c r="B287" s="39"/>
      <c r="D287" s="59"/>
      <c r="E287" s="68"/>
      <c r="F287" s="95"/>
      <c r="G287" s="21"/>
    </row>
    <row r="288" spans="2:7" s="32" customFormat="1" x14ac:dyDescent="0.25">
      <c r="B288" s="39"/>
      <c r="D288" s="59"/>
      <c r="E288" s="68"/>
      <c r="F288" s="95"/>
      <c r="G288" s="21"/>
    </row>
    <row r="289" spans="2:7" s="32" customFormat="1" x14ac:dyDescent="0.25">
      <c r="B289" s="39"/>
      <c r="D289" s="59"/>
      <c r="E289" s="68"/>
      <c r="F289" s="95"/>
      <c r="G289" s="21"/>
    </row>
    <row r="290" spans="2:7" s="32" customFormat="1" x14ac:dyDescent="0.25">
      <c r="B290" s="39"/>
      <c r="D290" s="59"/>
      <c r="E290" s="68"/>
      <c r="F290" s="95"/>
      <c r="G290" s="21"/>
    </row>
    <row r="291" spans="2:7" s="32" customFormat="1" x14ac:dyDescent="0.25">
      <c r="B291" s="39"/>
      <c r="D291" s="59"/>
      <c r="E291" s="68"/>
      <c r="F291" s="95"/>
      <c r="G291" s="21"/>
    </row>
    <row r="292" spans="2:7" s="32" customFormat="1" x14ac:dyDescent="0.25">
      <c r="B292" s="39"/>
      <c r="D292" s="59"/>
      <c r="E292" s="68"/>
      <c r="F292" s="95"/>
      <c r="G292" s="21"/>
    </row>
    <row r="293" spans="2:7" s="32" customFormat="1" x14ac:dyDescent="0.25">
      <c r="B293" s="39"/>
      <c r="D293" s="59"/>
      <c r="E293" s="68"/>
      <c r="F293" s="95"/>
      <c r="G293" s="21"/>
    </row>
    <row r="294" spans="2:7" s="32" customFormat="1" x14ac:dyDescent="0.25">
      <c r="B294" s="39"/>
      <c r="D294" s="59"/>
      <c r="E294" s="68"/>
      <c r="F294" s="95"/>
      <c r="G294" s="21"/>
    </row>
    <row r="295" spans="2:7" s="32" customFormat="1" x14ac:dyDescent="0.25">
      <c r="B295" s="39"/>
      <c r="D295" s="59"/>
      <c r="E295" s="68"/>
      <c r="F295" s="95"/>
      <c r="G295" s="21"/>
    </row>
    <row r="296" spans="2:7" s="32" customFormat="1" x14ac:dyDescent="0.25">
      <c r="B296" s="39"/>
      <c r="D296" s="59"/>
      <c r="E296" s="68"/>
      <c r="F296" s="95"/>
      <c r="G296" s="21"/>
    </row>
    <row r="297" spans="2:7" s="32" customFormat="1" x14ac:dyDescent="0.25">
      <c r="B297" s="39"/>
      <c r="D297" s="59"/>
      <c r="E297" s="68"/>
      <c r="F297" s="95"/>
      <c r="G297" s="21"/>
    </row>
    <row r="298" spans="2:7" s="32" customFormat="1" x14ac:dyDescent="0.25">
      <c r="B298" s="39"/>
      <c r="D298" s="59"/>
      <c r="E298" s="68"/>
      <c r="F298" s="95"/>
      <c r="G298" s="21"/>
    </row>
    <row r="299" spans="2:7" s="32" customFormat="1" x14ac:dyDescent="0.25">
      <c r="B299" s="39"/>
      <c r="D299" s="59"/>
      <c r="E299" s="68"/>
      <c r="F299" s="95"/>
      <c r="G299" s="21"/>
    </row>
    <row r="300" spans="2:7" s="32" customFormat="1" x14ac:dyDescent="0.25">
      <c r="B300" s="39"/>
      <c r="D300" s="59"/>
      <c r="E300" s="68"/>
      <c r="F300" s="95"/>
      <c r="G300" s="21"/>
    </row>
    <row r="301" spans="2:7" s="32" customFormat="1" x14ac:dyDescent="0.25">
      <c r="B301" s="39"/>
      <c r="D301" s="59"/>
      <c r="E301" s="68"/>
      <c r="F301" s="95"/>
      <c r="G301" s="21"/>
    </row>
    <row r="302" spans="2:7" s="32" customFormat="1" x14ac:dyDescent="0.25">
      <c r="B302" s="39"/>
      <c r="D302" s="59"/>
      <c r="E302" s="68"/>
      <c r="F302" s="95"/>
      <c r="G302" s="21"/>
    </row>
    <row r="303" spans="2:7" s="32" customFormat="1" x14ac:dyDescent="0.25">
      <c r="B303" s="39"/>
      <c r="D303" s="59"/>
      <c r="E303" s="68"/>
      <c r="F303" s="95"/>
      <c r="G303" s="21"/>
    </row>
    <row r="304" spans="2:7" s="32" customFormat="1" x14ac:dyDescent="0.25">
      <c r="B304" s="39"/>
      <c r="D304" s="59"/>
      <c r="E304" s="68"/>
      <c r="F304" s="95"/>
      <c r="G304" s="21"/>
    </row>
    <row r="305" spans="2:7" s="32" customFormat="1" x14ac:dyDescent="0.25">
      <c r="B305" s="39"/>
      <c r="D305" s="59"/>
      <c r="E305" s="68"/>
      <c r="F305" s="95"/>
      <c r="G305" s="21"/>
    </row>
    <row r="306" spans="2:7" s="32" customFormat="1" x14ac:dyDescent="0.25">
      <c r="B306" s="39"/>
      <c r="D306" s="59"/>
      <c r="E306" s="68"/>
      <c r="F306" s="95"/>
      <c r="G306" s="21"/>
    </row>
    <row r="307" spans="2:7" s="32" customFormat="1" x14ac:dyDescent="0.25">
      <c r="B307" s="39"/>
      <c r="D307" s="59"/>
      <c r="E307" s="68"/>
      <c r="F307" s="95"/>
      <c r="G307" s="21"/>
    </row>
    <row r="308" spans="2:7" s="32" customFormat="1" x14ac:dyDescent="0.25">
      <c r="B308" s="39"/>
      <c r="D308" s="59"/>
      <c r="E308" s="68"/>
      <c r="F308" s="95"/>
      <c r="G308" s="21"/>
    </row>
    <row r="309" spans="2:7" s="32" customFormat="1" x14ac:dyDescent="0.25">
      <c r="B309" s="39"/>
      <c r="D309" s="59"/>
      <c r="E309" s="68"/>
      <c r="F309" s="95"/>
      <c r="G309" s="21"/>
    </row>
    <row r="310" spans="2:7" s="32" customFormat="1" x14ac:dyDescent="0.25">
      <c r="B310" s="39"/>
      <c r="D310" s="59"/>
      <c r="E310" s="68"/>
      <c r="F310" s="95"/>
      <c r="G310" s="21"/>
    </row>
    <row r="311" spans="2:7" s="32" customFormat="1" x14ac:dyDescent="0.25">
      <c r="B311" s="39"/>
      <c r="D311" s="59"/>
      <c r="E311" s="68"/>
      <c r="F311" s="95"/>
      <c r="G311" s="21"/>
    </row>
    <row r="312" spans="2:7" s="32" customFormat="1" x14ac:dyDescent="0.25">
      <c r="B312" s="39"/>
      <c r="D312" s="59"/>
      <c r="E312" s="68"/>
      <c r="F312" s="95"/>
      <c r="G312" s="21"/>
    </row>
    <row r="313" spans="2:7" s="32" customFormat="1" x14ac:dyDescent="0.25">
      <c r="B313" s="39"/>
      <c r="D313" s="59"/>
      <c r="E313" s="68"/>
      <c r="F313" s="95"/>
      <c r="G313" s="21"/>
    </row>
    <row r="314" spans="2:7" s="32" customFormat="1" x14ac:dyDescent="0.25">
      <c r="B314" s="39"/>
      <c r="D314" s="59"/>
      <c r="E314" s="68"/>
      <c r="F314" s="95"/>
      <c r="G314" s="21"/>
    </row>
    <row r="315" spans="2:7" s="32" customFormat="1" x14ac:dyDescent="0.25">
      <c r="B315" s="39"/>
      <c r="D315" s="59"/>
      <c r="E315" s="68"/>
      <c r="F315" s="95"/>
      <c r="G315" s="21"/>
    </row>
    <row r="316" spans="2:7" s="32" customFormat="1" x14ac:dyDescent="0.25">
      <c r="B316" s="39"/>
      <c r="D316" s="59"/>
      <c r="E316" s="68"/>
      <c r="F316" s="95"/>
      <c r="G316" s="21"/>
    </row>
    <row r="317" spans="2:7" s="32" customFormat="1" x14ac:dyDescent="0.25">
      <c r="B317" s="39"/>
      <c r="D317" s="59"/>
      <c r="E317" s="68"/>
      <c r="F317" s="95"/>
      <c r="G317" s="21"/>
    </row>
    <row r="318" spans="2:7" s="32" customFormat="1" x14ac:dyDescent="0.25">
      <c r="B318" s="39"/>
      <c r="D318" s="59"/>
      <c r="E318" s="68"/>
      <c r="F318" s="95"/>
      <c r="G318" s="21"/>
    </row>
    <row r="319" spans="2:7" s="32" customFormat="1" x14ac:dyDescent="0.25">
      <c r="B319" s="39"/>
      <c r="D319" s="59"/>
      <c r="E319" s="68"/>
      <c r="F319" s="95"/>
      <c r="G319" s="21"/>
    </row>
    <row r="320" spans="2:7" s="32" customFormat="1" x14ac:dyDescent="0.25">
      <c r="B320" s="39"/>
      <c r="D320" s="59"/>
      <c r="E320" s="68"/>
      <c r="F320" s="95"/>
      <c r="G320" s="21"/>
    </row>
    <row r="321" spans="2:7" s="32" customFormat="1" x14ac:dyDescent="0.25">
      <c r="B321" s="39"/>
      <c r="D321" s="59"/>
      <c r="E321" s="68"/>
      <c r="F321" s="95"/>
      <c r="G321" s="21"/>
    </row>
    <row r="322" spans="2:7" s="32" customFormat="1" x14ac:dyDescent="0.25">
      <c r="B322" s="39"/>
      <c r="D322" s="59"/>
      <c r="E322" s="68"/>
      <c r="F322" s="95"/>
      <c r="G322" s="21"/>
    </row>
    <row r="323" spans="2:7" s="32" customFormat="1" x14ac:dyDescent="0.25">
      <c r="B323" s="39"/>
      <c r="D323" s="59"/>
      <c r="E323" s="68"/>
      <c r="F323" s="95"/>
      <c r="G323" s="21"/>
    </row>
    <row r="324" spans="2:7" s="32" customFormat="1" x14ac:dyDescent="0.25">
      <c r="B324" s="39"/>
      <c r="D324" s="59"/>
      <c r="E324" s="68"/>
      <c r="F324" s="95"/>
      <c r="G324" s="21"/>
    </row>
    <row r="325" spans="2:7" s="32" customFormat="1" x14ac:dyDescent="0.25">
      <c r="B325" s="39"/>
      <c r="D325" s="59"/>
      <c r="E325" s="68"/>
      <c r="F325" s="95"/>
      <c r="G325" s="21"/>
    </row>
    <row r="326" spans="2:7" s="32" customFormat="1" x14ac:dyDescent="0.25">
      <c r="B326" s="39"/>
      <c r="D326" s="59"/>
      <c r="E326" s="68"/>
      <c r="F326" s="95"/>
      <c r="G326" s="21"/>
    </row>
    <row r="327" spans="2:7" s="32" customFormat="1" x14ac:dyDescent="0.25">
      <c r="B327" s="39"/>
      <c r="D327" s="59"/>
      <c r="E327" s="68"/>
      <c r="F327" s="95"/>
      <c r="G327" s="21"/>
    </row>
    <row r="328" spans="2:7" s="32" customFormat="1" x14ac:dyDescent="0.25">
      <c r="B328" s="39"/>
      <c r="D328" s="59"/>
      <c r="E328" s="68"/>
      <c r="F328" s="95"/>
      <c r="G328" s="21"/>
    </row>
    <row r="329" spans="2:7" s="32" customFormat="1" x14ac:dyDescent="0.25">
      <c r="B329" s="39"/>
      <c r="D329" s="59"/>
      <c r="E329" s="68"/>
      <c r="F329" s="95"/>
      <c r="G329" s="21"/>
    </row>
    <row r="330" spans="2:7" s="32" customFormat="1" x14ac:dyDescent="0.25">
      <c r="B330" s="39"/>
      <c r="D330" s="59"/>
      <c r="E330" s="68"/>
      <c r="F330" s="95"/>
      <c r="G330" s="21"/>
    </row>
    <row r="331" spans="2:7" s="32" customFormat="1" x14ac:dyDescent="0.25">
      <c r="B331" s="39"/>
      <c r="D331" s="59"/>
      <c r="E331" s="68"/>
      <c r="F331" s="95"/>
      <c r="G331" s="21"/>
    </row>
    <row r="332" spans="2:7" s="32" customFormat="1" x14ac:dyDescent="0.25">
      <c r="B332" s="39"/>
      <c r="D332" s="59"/>
      <c r="E332" s="68"/>
      <c r="F332" s="95"/>
      <c r="G332" s="21"/>
    </row>
    <row r="333" spans="2:7" s="32" customFormat="1" x14ac:dyDescent="0.25">
      <c r="B333" s="39"/>
      <c r="D333" s="59"/>
      <c r="E333" s="68"/>
      <c r="F333" s="95"/>
      <c r="G333" s="21"/>
    </row>
    <row r="334" spans="2:7" s="32" customFormat="1" x14ac:dyDescent="0.25">
      <c r="B334" s="39"/>
      <c r="D334" s="59"/>
      <c r="E334" s="68"/>
      <c r="F334" s="95"/>
      <c r="G334" s="21"/>
    </row>
    <row r="335" spans="2:7" s="32" customFormat="1" x14ac:dyDescent="0.25">
      <c r="B335" s="39"/>
      <c r="D335" s="59"/>
      <c r="E335" s="68"/>
      <c r="F335" s="95"/>
      <c r="G335" s="21"/>
    </row>
    <row r="336" spans="2:7" s="32" customFormat="1" x14ac:dyDescent="0.25">
      <c r="B336" s="39"/>
      <c r="D336" s="59"/>
      <c r="E336" s="68"/>
      <c r="F336" s="95"/>
      <c r="G336" s="21"/>
    </row>
    <row r="337" spans="2:7" s="32" customFormat="1" x14ac:dyDescent="0.25">
      <c r="B337" s="39"/>
      <c r="D337" s="59"/>
      <c r="E337" s="68"/>
      <c r="F337" s="95"/>
      <c r="G337" s="21"/>
    </row>
    <row r="338" spans="2:7" s="32" customFormat="1" x14ac:dyDescent="0.25">
      <c r="B338" s="39"/>
      <c r="D338" s="59"/>
      <c r="E338" s="68"/>
      <c r="F338" s="95"/>
      <c r="G338" s="21"/>
    </row>
    <row r="339" spans="2:7" s="32" customFormat="1" x14ac:dyDescent="0.25">
      <c r="B339" s="39"/>
      <c r="D339" s="59"/>
      <c r="E339" s="68"/>
      <c r="F339" s="95"/>
      <c r="G339" s="21"/>
    </row>
    <row r="340" spans="2:7" s="32" customFormat="1" x14ac:dyDescent="0.25">
      <c r="B340" s="39"/>
      <c r="D340" s="59"/>
      <c r="E340" s="68"/>
      <c r="F340" s="95"/>
      <c r="G340" s="21"/>
    </row>
    <row r="341" spans="2:7" s="32" customFormat="1" x14ac:dyDescent="0.25">
      <c r="B341" s="39"/>
      <c r="D341" s="59"/>
      <c r="E341" s="68"/>
      <c r="F341" s="95"/>
      <c r="G341" s="21"/>
    </row>
    <row r="342" spans="2:7" s="32" customFormat="1" x14ac:dyDescent="0.25">
      <c r="B342" s="39"/>
      <c r="D342" s="59"/>
      <c r="E342" s="68"/>
      <c r="F342" s="95"/>
      <c r="G342" s="21"/>
    </row>
    <row r="343" spans="2:7" s="32" customFormat="1" x14ac:dyDescent="0.25">
      <c r="B343" s="39"/>
      <c r="D343" s="59"/>
      <c r="E343" s="68"/>
      <c r="F343" s="95"/>
      <c r="G343" s="21"/>
    </row>
    <row r="344" spans="2:7" s="32" customFormat="1" x14ac:dyDescent="0.25">
      <c r="B344" s="39"/>
      <c r="D344" s="59"/>
      <c r="E344" s="68"/>
      <c r="F344" s="95"/>
      <c r="G344" s="21"/>
    </row>
    <row r="345" spans="2:7" s="32" customFormat="1" x14ac:dyDescent="0.25">
      <c r="B345" s="39"/>
      <c r="D345" s="59"/>
      <c r="E345" s="68"/>
      <c r="F345" s="95"/>
      <c r="G345" s="21"/>
    </row>
    <row r="346" spans="2:7" s="32" customFormat="1" x14ac:dyDescent="0.25">
      <c r="B346" s="39"/>
      <c r="D346" s="59"/>
      <c r="E346" s="68"/>
      <c r="F346" s="95"/>
      <c r="G346" s="21"/>
    </row>
    <row r="347" spans="2:7" s="32" customFormat="1" x14ac:dyDescent="0.25">
      <c r="B347" s="39"/>
      <c r="D347" s="59"/>
      <c r="E347" s="68"/>
      <c r="F347" s="95"/>
      <c r="G347" s="21"/>
    </row>
    <row r="348" spans="2:7" s="32" customFormat="1" x14ac:dyDescent="0.25">
      <c r="B348" s="39"/>
      <c r="D348" s="59"/>
      <c r="E348" s="68"/>
      <c r="F348" s="95"/>
      <c r="G348" s="21"/>
    </row>
    <row r="349" spans="2:7" s="32" customFormat="1" x14ac:dyDescent="0.25">
      <c r="B349" s="39"/>
      <c r="D349" s="59"/>
      <c r="E349" s="68"/>
      <c r="F349" s="95"/>
      <c r="G349" s="21"/>
    </row>
    <row r="350" spans="2:7" s="32" customFormat="1" x14ac:dyDescent="0.25">
      <c r="B350" s="39"/>
      <c r="D350" s="59"/>
      <c r="E350" s="68"/>
      <c r="F350" s="95"/>
      <c r="G350" s="21"/>
    </row>
    <row r="351" spans="2:7" s="32" customFormat="1" x14ac:dyDescent="0.25">
      <c r="B351" s="39"/>
      <c r="D351" s="59"/>
      <c r="E351" s="68"/>
      <c r="F351" s="95"/>
      <c r="G351" s="21"/>
    </row>
    <row r="352" spans="2:7" s="32" customFormat="1" x14ac:dyDescent="0.25">
      <c r="B352" s="39"/>
      <c r="D352" s="59"/>
      <c r="E352" s="68"/>
      <c r="F352" s="95"/>
      <c r="G352" s="21"/>
    </row>
    <row r="353" spans="2:7" s="32" customFormat="1" x14ac:dyDescent="0.25">
      <c r="B353" s="39"/>
      <c r="D353" s="59"/>
      <c r="E353" s="68"/>
      <c r="F353" s="95"/>
      <c r="G353" s="21"/>
    </row>
    <row r="354" spans="2:7" s="32" customFormat="1" x14ac:dyDescent="0.25">
      <c r="B354" s="39"/>
      <c r="D354" s="59"/>
      <c r="E354" s="68"/>
      <c r="F354" s="95"/>
      <c r="G354" s="21"/>
    </row>
    <row r="355" spans="2:7" s="32" customFormat="1" x14ac:dyDescent="0.25">
      <c r="B355" s="39"/>
      <c r="D355" s="59"/>
      <c r="E355" s="68"/>
      <c r="F355" s="95"/>
      <c r="G355" s="21"/>
    </row>
    <row r="356" spans="2:7" s="32" customFormat="1" x14ac:dyDescent="0.25">
      <c r="B356" s="39"/>
      <c r="D356" s="59"/>
      <c r="E356" s="68"/>
      <c r="F356" s="95"/>
      <c r="G356" s="21"/>
    </row>
    <row r="357" spans="2:7" s="32" customFormat="1" x14ac:dyDescent="0.25">
      <c r="B357" s="39"/>
      <c r="D357" s="59"/>
      <c r="E357" s="68"/>
      <c r="F357" s="95"/>
      <c r="G357" s="21"/>
    </row>
    <row r="358" spans="2:7" s="32" customFormat="1" x14ac:dyDescent="0.25">
      <c r="B358" s="39"/>
      <c r="D358" s="59"/>
      <c r="E358" s="68"/>
      <c r="F358" s="95"/>
      <c r="G358" s="21"/>
    </row>
    <row r="359" spans="2:7" s="32" customFormat="1" x14ac:dyDescent="0.25">
      <c r="B359" s="39"/>
      <c r="D359" s="59"/>
      <c r="E359" s="68"/>
      <c r="F359" s="95"/>
      <c r="G359" s="21"/>
    </row>
    <row r="360" spans="2:7" s="32" customFormat="1" x14ac:dyDescent="0.25">
      <c r="B360" s="39"/>
      <c r="D360" s="59"/>
      <c r="E360" s="68"/>
      <c r="F360" s="95"/>
      <c r="G360" s="21"/>
    </row>
    <row r="361" spans="2:7" s="32" customFormat="1" x14ac:dyDescent="0.25">
      <c r="B361" s="39"/>
      <c r="D361" s="59"/>
      <c r="E361" s="68"/>
      <c r="F361" s="95"/>
      <c r="G361" s="21"/>
    </row>
    <row r="362" spans="2:7" s="32" customFormat="1" x14ac:dyDescent="0.25">
      <c r="B362" s="39"/>
      <c r="D362" s="59"/>
      <c r="E362" s="68"/>
      <c r="F362" s="95"/>
      <c r="G362" s="21"/>
    </row>
    <row r="363" spans="2:7" s="32" customFormat="1" x14ac:dyDescent="0.25">
      <c r="B363" s="39"/>
      <c r="D363" s="59"/>
      <c r="E363" s="68"/>
      <c r="F363" s="95"/>
      <c r="G363" s="21"/>
    </row>
    <row r="364" spans="2:7" s="32" customFormat="1" x14ac:dyDescent="0.25">
      <c r="B364" s="39"/>
      <c r="D364" s="59"/>
      <c r="E364" s="68"/>
      <c r="F364" s="95"/>
      <c r="G364" s="21"/>
    </row>
    <row r="365" spans="2:7" s="32" customFormat="1" x14ac:dyDescent="0.25">
      <c r="B365" s="39"/>
      <c r="D365" s="59"/>
      <c r="E365" s="68"/>
      <c r="F365" s="95"/>
      <c r="G365" s="21"/>
    </row>
    <row r="366" spans="2:7" s="32" customFormat="1" x14ac:dyDescent="0.25">
      <c r="B366" s="39"/>
      <c r="D366" s="59"/>
      <c r="E366" s="68"/>
      <c r="F366" s="95"/>
      <c r="G366" s="21"/>
    </row>
    <row r="367" spans="2:7" s="32" customFormat="1" x14ac:dyDescent="0.25">
      <c r="B367" s="39"/>
      <c r="D367" s="59"/>
      <c r="E367" s="68"/>
      <c r="F367" s="95"/>
      <c r="G367" s="21"/>
    </row>
    <row r="368" spans="2:7" s="32" customFormat="1" x14ac:dyDescent="0.25">
      <c r="B368" s="39"/>
      <c r="D368" s="59"/>
      <c r="E368" s="68"/>
      <c r="F368" s="95"/>
      <c r="G368" s="21"/>
    </row>
    <row r="369" spans="2:7" s="32" customFormat="1" x14ac:dyDescent="0.25">
      <c r="B369" s="39"/>
      <c r="D369" s="59"/>
      <c r="E369" s="68"/>
      <c r="F369" s="95"/>
      <c r="G369" s="21"/>
    </row>
    <row r="370" spans="2:7" s="32" customFormat="1" x14ac:dyDescent="0.25">
      <c r="B370" s="39"/>
      <c r="D370" s="59"/>
      <c r="E370" s="68"/>
      <c r="F370" s="95"/>
      <c r="G370" s="21"/>
    </row>
    <row r="371" spans="2:7" s="32" customFormat="1" x14ac:dyDescent="0.25">
      <c r="B371" s="39"/>
      <c r="D371" s="59"/>
      <c r="E371" s="68"/>
      <c r="F371" s="95"/>
      <c r="G371" s="21"/>
    </row>
    <row r="372" spans="2:7" s="32" customFormat="1" x14ac:dyDescent="0.25">
      <c r="B372" s="39"/>
      <c r="D372" s="59"/>
      <c r="E372" s="68"/>
      <c r="F372" s="95"/>
      <c r="G372" s="21"/>
    </row>
    <row r="373" spans="2:7" s="32" customFormat="1" x14ac:dyDescent="0.25">
      <c r="B373" s="39"/>
      <c r="D373" s="59"/>
      <c r="E373" s="68"/>
      <c r="F373" s="95"/>
      <c r="G373" s="21"/>
    </row>
    <row r="374" spans="2:7" s="32" customFormat="1" x14ac:dyDescent="0.25">
      <c r="B374" s="39"/>
      <c r="D374" s="59"/>
      <c r="E374" s="68"/>
      <c r="F374" s="95"/>
      <c r="G374" s="21"/>
    </row>
    <row r="375" spans="2:7" s="32" customFormat="1" x14ac:dyDescent="0.25">
      <c r="B375" s="39"/>
      <c r="D375" s="59"/>
      <c r="E375" s="68"/>
      <c r="F375" s="95"/>
      <c r="G375" s="21"/>
    </row>
    <row r="376" spans="2:7" s="32" customFormat="1" x14ac:dyDescent="0.25">
      <c r="B376" s="39"/>
      <c r="D376" s="59"/>
      <c r="E376" s="68"/>
      <c r="F376" s="95"/>
      <c r="G376" s="21"/>
    </row>
    <row r="377" spans="2:7" s="32" customFormat="1" x14ac:dyDescent="0.25">
      <c r="B377" s="39"/>
      <c r="D377" s="59"/>
      <c r="E377" s="68"/>
      <c r="F377" s="95"/>
      <c r="G377" s="21"/>
    </row>
    <row r="378" spans="2:7" s="32" customFormat="1" x14ac:dyDescent="0.25">
      <c r="B378" s="39"/>
      <c r="D378" s="59"/>
      <c r="E378" s="68"/>
      <c r="F378" s="95"/>
      <c r="G378" s="21"/>
    </row>
    <row r="379" spans="2:7" s="32" customFormat="1" x14ac:dyDescent="0.25">
      <c r="B379" s="39"/>
      <c r="D379" s="59"/>
      <c r="E379" s="68"/>
      <c r="F379" s="95"/>
      <c r="G379" s="21"/>
    </row>
    <row r="380" spans="2:7" s="32" customFormat="1" x14ac:dyDescent="0.25">
      <c r="B380" s="39"/>
      <c r="D380" s="59"/>
      <c r="E380" s="68"/>
      <c r="F380" s="95"/>
      <c r="G380" s="21"/>
    </row>
    <row r="381" spans="2:7" s="32" customFormat="1" x14ac:dyDescent="0.25">
      <c r="B381" s="39"/>
      <c r="D381" s="59"/>
      <c r="E381" s="68"/>
      <c r="F381" s="95"/>
      <c r="G381" s="21"/>
    </row>
    <row r="382" spans="2:7" s="32" customFormat="1" x14ac:dyDescent="0.25">
      <c r="B382" s="39"/>
      <c r="D382" s="59"/>
      <c r="E382" s="68"/>
      <c r="F382" s="95"/>
      <c r="G382" s="21"/>
    </row>
    <row r="383" spans="2:7" s="32" customFormat="1" x14ac:dyDescent="0.25">
      <c r="B383" s="39"/>
      <c r="D383" s="59"/>
      <c r="E383" s="68"/>
      <c r="F383" s="95"/>
      <c r="G383" s="21"/>
    </row>
    <row r="384" spans="2:7" s="32" customFormat="1" x14ac:dyDescent="0.25">
      <c r="B384" s="39"/>
      <c r="D384" s="59"/>
      <c r="E384" s="68"/>
      <c r="F384" s="95"/>
      <c r="G384" s="21"/>
    </row>
    <row r="385" spans="2:7" s="32" customFormat="1" x14ac:dyDescent="0.25">
      <c r="B385" s="39"/>
      <c r="D385" s="59"/>
      <c r="E385" s="68"/>
      <c r="F385" s="95"/>
      <c r="G385" s="21"/>
    </row>
    <row r="386" spans="2:7" s="32" customFormat="1" x14ac:dyDescent="0.25">
      <c r="B386" s="39"/>
      <c r="D386" s="59"/>
      <c r="E386" s="68"/>
      <c r="F386" s="95"/>
      <c r="G386" s="21"/>
    </row>
    <row r="387" spans="2:7" s="32" customFormat="1" x14ac:dyDescent="0.25">
      <c r="B387" s="39"/>
      <c r="D387" s="59"/>
      <c r="E387" s="68"/>
      <c r="F387" s="95"/>
      <c r="G387" s="21"/>
    </row>
    <row r="388" spans="2:7" s="32" customFormat="1" x14ac:dyDescent="0.25">
      <c r="B388" s="39"/>
      <c r="D388" s="59"/>
      <c r="E388" s="68"/>
      <c r="F388" s="95"/>
      <c r="G388" s="21"/>
    </row>
    <row r="389" spans="2:7" s="32" customFormat="1" x14ac:dyDescent="0.25">
      <c r="B389" s="39"/>
      <c r="D389" s="59"/>
      <c r="E389" s="68"/>
      <c r="F389" s="95"/>
      <c r="G389" s="21"/>
    </row>
    <row r="390" spans="2:7" s="32" customFormat="1" x14ac:dyDescent="0.25">
      <c r="B390" s="39"/>
      <c r="D390" s="59"/>
      <c r="E390" s="68"/>
      <c r="F390" s="95"/>
      <c r="G390" s="21"/>
    </row>
    <row r="391" spans="2:7" s="32" customFormat="1" x14ac:dyDescent="0.25">
      <c r="B391" s="39"/>
      <c r="D391" s="59"/>
      <c r="E391" s="68"/>
      <c r="F391" s="95"/>
      <c r="G391" s="21"/>
    </row>
    <row r="392" spans="2:7" s="32" customFormat="1" x14ac:dyDescent="0.25">
      <c r="B392" s="39"/>
      <c r="D392" s="59"/>
      <c r="E392" s="68"/>
      <c r="F392" s="95"/>
      <c r="G392" s="21"/>
    </row>
    <row r="393" spans="2:7" s="32" customFormat="1" x14ac:dyDescent="0.25">
      <c r="B393" s="39"/>
      <c r="D393" s="59"/>
      <c r="E393" s="68"/>
      <c r="F393" s="95"/>
      <c r="G393" s="21"/>
    </row>
    <row r="394" spans="2:7" s="32" customFormat="1" x14ac:dyDescent="0.25">
      <c r="B394" s="39"/>
      <c r="D394" s="59"/>
      <c r="E394" s="68"/>
      <c r="F394" s="95"/>
      <c r="G394" s="21"/>
    </row>
    <row r="395" spans="2:7" s="32" customFormat="1" x14ac:dyDescent="0.25">
      <c r="B395" s="39"/>
      <c r="D395" s="59"/>
      <c r="E395" s="68"/>
      <c r="F395" s="95"/>
      <c r="G395" s="21"/>
    </row>
    <row r="396" spans="2:7" s="32" customFormat="1" x14ac:dyDescent="0.25">
      <c r="B396" s="39"/>
      <c r="D396" s="59"/>
      <c r="E396" s="68"/>
      <c r="F396" s="95"/>
      <c r="G396" s="21"/>
    </row>
    <row r="397" spans="2:7" s="32" customFormat="1" x14ac:dyDescent="0.25">
      <c r="B397" s="39"/>
      <c r="D397" s="59"/>
      <c r="E397" s="68"/>
      <c r="F397" s="95"/>
      <c r="G397" s="21"/>
    </row>
    <row r="398" spans="2:7" s="32" customFormat="1" x14ac:dyDescent="0.25">
      <c r="B398" s="39"/>
      <c r="D398" s="59"/>
      <c r="E398" s="68"/>
      <c r="F398" s="95"/>
      <c r="G398" s="21"/>
    </row>
    <row r="399" spans="2:7" s="32" customFormat="1" x14ac:dyDescent="0.25">
      <c r="B399" s="39"/>
      <c r="D399" s="59"/>
      <c r="E399" s="68"/>
      <c r="F399" s="95"/>
      <c r="G399" s="21"/>
    </row>
    <row r="400" spans="2:7" s="32" customFormat="1" x14ac:dyDescent="0.25">
      <c r="B400" s="39"/>
      <c r="D400" s="59"/>
      <c r="E400" s="68"/>
      <c r="F400" s="95"/>
      <c r="G400" s="21"/>
    </row>
    <row r="401" spans="2:7" s="32" customFormat="1" x14ac:dyDescent="0.25">
      <c r="B401" s="39"/>
      <c r="D401" s="59"/>
      <c r="E401" s="68"/>
      <c r="F401" s="95"/>
      <c r="G401" s="21"/>
    </row>
    <row r="402" spans="2:7" s="32" customFormat="1" x14ac:dyDescent="0.25">
      <c r="B402" s="39"/>
      <c r="D402" s="59"/>
      <c r="E402" s="68"/>
      <c r="F402" s="95"/>
      <c r="G402" s="21"/>
    </row>
    <row r="403" spans="2:7" s="32" customFormat="1" x14ac:dyDescent="0.25">
      <c r="B403" s="39"/>
      <c r="D403" s="59"/>
      <c r="E403" s="68"/>
      <c r="F403" s="95"/>
      <c r="G403" s="21"/>
    </row>
    <row r="404" spans="2:7" s="32" customFormat="1" x14ac:dyDescent="0.25">
      <c r="B404" s="39"/>
      <c r="D404" s="59"/>
      <c r="E404" s="68"/>
      <c r="F404" s="95"/>
      <c r="G404" s="21"/>
    </row>
    <row r="405" spans="2:7" s="32" customFormat="1" x14ac:dyDescent="0.25">
      <c r="B405" s="39"/>
      <c r="D405" s="59"/>
      <c r="E405" s="68"/>
      <c r="F405" s="95"/>
      <c r="G405" s="21"/>
    </row>
    <row r="406" spans="2:7" s="32" customFormat="1" x14ac:dyDescent="0.25">
      <c r="B406" s="39"/>
      <c r="D406" s="59"/>
      <c r="E406" s="68"/>
      <c r="F406" s="95"/>
      <c r="G406" s="21"/>
    </row>
    <row r="407" spans="2:7" s="32" customFormat="1" x14ac:dyDescent="0.25">
      <c r="B407" s="39"/>
      <c r="D407" s="59"/>
      <c r="E407" s="68"/>
      <c r="F407" s="95"/>
      <c r="G407" s="21"/>
    </row>
    <row r="408" spans="2:7" s="32" customFormat="1" x14ac:dyDescent="0.25">
      <c r="B408" s="39"/>
      <c r="D408" s="59"/>
      <c r="E408" s="68"/>
      <c r="F408" s="95"/>
      <c r="G408" s="21"/>
    </row>
    <row r="409" spans="2:7" s="32" customFormat="1" x14ac:dyDescent="0.25">
      <c r="B409" s="39"/>
      <c r="D409" s="59"/>
      <c r="E409" s="68"/>
      <c r="F409" s="95"/>
      <c r="G409" s="21"/>
    </row>
    <row r="410" spans="2:7" s="32" customFormat="1" x14ac:dyDescent="0.25">
      <c r="B410" s="39"/>
      <c r="D410" s="59"/>
      <c r="E410" s="68"/>
      <c r="F410" s="95"/>
      <c r="G410" s="21"/>
    </row>
    <row r="411" spans="2:7" s="32" customFormat="1" x14ac:dyDescent="0.25">
      <c r="B411" s="39"/>
      <c r="D411" s="59"/>
      <c r="E411" s="68"/>
      <c r="F411" s="95"/>
      <c r="G411" s="21"/>
    </row>
    <row r="412" spans="2:7" s="32" customFormat="1" x14ac:dyDescent="0.25">
      <c r="B412" s="39"/>
      <c r="D412" s="59"/>
      <c r="E412" s="68"/>
      <c r="F412" s="95"/>
      <c r="G412" s="21"/>
    </row>
    <row r="413" spans="2:7" s="32" customFormat="1" x14ac:dyDescent="0.25">
      <c r="B413" s="39"/>
      <c r="D413" s="59"/>
      <c r="E413" s="68"/>
      <c r="F413" s="95"/>
      <c r="G413" s="21"/>
    </row>
    <row r="414" spans="2:7" s="32" customFormat="1" x14ac:dyDescent="0.25">
      <c r="B414" s="39"/>
      <c r="D414" s="59"/>
      <c r="E414" s="68"/>
      <c r="F414" s="95"/>
      <c r="G414" s="21"/>
    </row>
    <row r="415" spans="2:7" s="32" customFormat="1" x14ac:dyDescent="0.25">
      <c r="B415" s="39"/>
      <c r="D415" s="59"/>
      <c r="E415" s="68"/>
      <c r="F415" s="95"/>
      <c r="G415" s="21"/>
    </row>
    <row r="416" spans="2:7" s="32" customFormat="1" x14ac:dyDescent="0.25">
      <c r="B416" s="39"/>
      <c r="D416" s="59"/>
      <c r="E416" s="68"/>
      <c r="F416" s="95"/>
      <c r="G416" s="21"/>
    </row>
    <row r="417" spans="2:7" s="32" customFormat="1" x14ac:dyDescent="0.25">
      <c r="B417" s="39"/>
      <c r="D417" s="59"/>
      <c r="E417" s="68"/>
      <c r="F417" s="95"/>
      <c r="G417" s="21"/>
    </row>
    <row r="418" spans="2:7" s="32" customFormat="1" x14ac:dyDescent="0.25">
      <c r="B418" s="39"/>
      <c r="D418" s="59"/>
      <c r="E418" s="68"/>
      <c r="F418" s="95"/>
      <c r="G418" s="21"/>
    </row>
    <row r="419" spans="2:7" s="32" customFormat="1" x14ac:dyDescent="0.25">
      <c r="B419" s="39"/>
      <c r="D419" s="59"/>
      <c r="E419" s="68"/>
      <c r="F419" s="95"/>
      <c r="G419" s="21"/>
    </row>
    <row r="420" spans="2:7" s="32" customFormat="1" x14ac:dyDescent="0.25">
      <c r="B420" s="39"/>
      <c r="D420" s="59"/>
      <c r="E420" s="68"/>
      <c r="F420" s="95"/>
      <c r="G420" s="21"/>
    </row>
    <row r="421" spans="2:7" s="32" customFormat="1" x14ac:dyDescent="0.25">
      <c r="B421" s="39"/>
      <c r="D421" s="59"/>
      <c r="E421" s="68"/>
      <c r="F421" s="95"/>
      <c r="G421" s="21"/>
    </row>
    <row r="422" spans="2:7" s="32" customFormat="1" x14ac:dyDescent="0.25">
      <c r="B422" s="39"/>
      <c r="D422" s="59"/>
      <c r="E422" s="68"/>
      <c r="F422" s="95"/>
      <c r="G422" s="21"/>
    </row>
    <row r="423" spans="2:7" s="32" customFormat="1" x14ac:dyDescent="0.25">
      <c r="B423" s="39"/>
      <c r="D423" s="59"/>
      <c r="E423" s="68"/>
      <c r="F423" s="95"/>
      <c r="G423" s="21"/>
    </row>
    <row r="424" spans="2:7" s="32" customFormat="1" x14ac:dyDescent="0.25">
      <c r="B424" s="39"/>
      <c r="D424" s="59"/>
      <c r="E424" s="68"/>
      <c r="F424" s="95"/>
      <c r="G424" s="21"/>
    </row>
    <row r="425" spans="2:7" s="32" customFormat="1" x14ac:dyDescent="0.25">
      <c r="B425" s="39"/>
      <c r="D425" s="59"/>
      <c r="E425" s="68"/>
      <c r="F425" s="95"/>
      <c r="G425" s="21"/>
    </row>
    <row r="426" spans="2:7" s="32" customFormat="1" x14ac:dyDescent="0.25">
      <c r="B426" s="39"/>
      <c r="D426" s="59"/>
      <c r="E426" s="68"/>
      <c r="F426" s="95"/>
      <c r="G426" s="21"/>
    </row>
    <row r="427" spans="2:7" s="32" customFormat="1" x14ac:dyDescent="0.25">
      <c r="B427" s="39"/>
      <c r="D427" s="59"/>
      <c r="E427" s="68"/>
      <c r="F427" s="95"/>
      <c r="G427" s="21"/>
    </row>
    <row r="428" spans="2:7" s="32" customFormat="1" x14ac:dyDescent="0.25">
      <c r="B428" s="39"/>
      <c r="D428" s="59"/>
      <c r="E428" s="68"/>
      <c r="F428" s="95"/>
      <c r="G428" s="21"/>
    </row>
    <row r="429" spans="2:7" s="32" customFormat="1" x14ac:dyDescent="0.25">
      <c r="B429" s="39"/>
      <c r="D429" s="59"/>
      <c r="E429" s="68"/>
      <c r="F429" s="95"/>
      <c r="G429" s="21"/>
    </row>
    <row r="430" spans="2:7" s="32" customFormat="1" x14ac:dyDescent="0.25">
      <c r="B430" s="39"/>
      <c r="D430" s="59"/>
      <c r="E430" s="68"/>
      <c r="F430" s="95"/>
      <c r="G430" s="21"/>
    </row>
    <row r="431" spans="2:7" s="32" customFormat="1" x14ac:dyDescent="0.25">
      <c r="B431" s="39"/>
      <c r="D431" s="59"/>
      <c r="E431" s="68"/>
      <c r="F431" s="95"/>
      <c r="G431" s="21"/>
    </row>
    <row r="432" spans="2:7" s="32" customFormat="1" x14ac:dyDescent="0.25">
      <c r="B432" s="39"/>
      <c r="D432" s="59"/>
      <c r="E432" s="68"/>
      <c r="F432" s="95"/>
      <c r="G432" s="21"/>
    </row>
    <row r="433" spans="2:7" s="32" customFormat="1" x14ac:dyDescent="0.25">
      <c r="B433" s="39"/>
      <c r="D433" s="59"/>
      <c r="E433" s="68"/>
      <c r="F433" s="95"/>
      <c r="G433" s="21"/>
    </row>
    <row r="434" spans="2:7" s="32" customFormat="1" x14ac:dyDescent="0.25">
      <c r="B434" s="39"/>
      <c r="D434" s="59"/>
      <c r="E434" s="68"/>
      <c r="F434" s="95"/>
      <c r="G434" s="21"/>
    </row>
    <row r="435" spans="2:7" s="32" customFormat="1" x14ac:dyDescent="0.25">
      <c r="B435" s="39"/>
      <c r="D435" s="59"/>
      <c r="E435" s="68"/>
      <c r="F435" s="95"/>
      <c r="G435" s="21"/>
    </row>
    <row r="436" spans="2:7" s="32" customFormat="1" x14ac:dyDescent="0.25">
      <c r="B436" s="39"/>
      <c r="D436" s="59"/>
      <c r="E436" s="68"/>
      <c r="F436" s="95"/>
      <c r="G436" s="21"/>
    </row>
    <row r="437" spans="2:7" s="32" customFormat="1" x14ac:dyDescent="0.25">
      <c r="B437" s="39"/>
      <c r="D437" s="59"/>
      <c r="E437" s="68"/>
      <c r="F437" s="95"/>
      <c r="G437" s="21"/>
    </row>
    <row r="438" spans="2:7" s="32" customFormat="1" x14ac:dyDescent="0.25">
      <c r="B438" s="39"/>
      <c r="D438" s="59"/>
      <c r="E438" s="68"/>
      <c r="F438" s="95"/>
      <c r="G438" s="21"/>
    </row>
    <row r="439" spans="2:7" s="32" customFormat="1" x14ac:dyDescent="0.25">
      <c r="B439" s="39"/>
      <c r="D439" s="59"/>
      <c r="E439" s="68"/>
      <c r="F439" s="95"/>
      <c r="G439" s="21"/>
    </row>
    <row r="440" spans="2:7" s="32" customFormat="1" x14ac:dyDescent="0.25">
      <c r="B440" s="39"/>
      <c r="D440" s="59"/>
      <c r="E440" s="68"/>
      <c r="F440" s="95"/>
      <c r="G440" s="21"/>
    </row>
    <row r="441" spans="2:7" s="32" customFormat="1" x14ac:dyDescent="0.25">
      <c r="B441" s="39"/>
      <c r="D441" s="59"/>
      <c r="E441" s="68"/>
      <c r="F441" s="95"/>
      <c r="G441" s="21"/>
    </row>
    <row r="442" spans="2:7" s="32" customFormat="1" x14ac:dyDescent="0.25">
      <c r="B442" s="39"/>
      <c r="D442" s="59"/>
      <c r="E442" s="68"/>
      <c r="F442" s="95"/>
      <c r="G442" s="21"/>
    </row>
    <row r="443" spans="2:7" s="32" customFormat="1" x14ac:dyDescent="0.25">
      <c r="B443" s="39"/>
      <c r="D443" s="59"/>
      <c r="E443" s="68"/>
      <c r="F443" s="95"/>
      <c r="G443" s="21"/>
    </row>
    <row r="444" spans="2:7" s="32" customFormat="1" x14ac:dyDescent="0.25">
      <c r="B444" s="39"/>
      <c r="D444" s="59"/>
      <c r="E444" s="68"/>
      <c r="F444" s="95"/>
      <c r="G444" s="21"/>
    </row>
    <row r="445" spans="2:7" s="32" customFormat="1" x14ac:dyDescent="0.25">
      <c r="B445" s="39"/>
      <c r="D445" s="59"/>
      <c r="E445" s="68"/>
      <c r="F445" s="95"/>
      <c r="G445" s="21"/>
    </row>
    <row r="446" spans="2:7" s="32" customFormat="1" x14ac:dyDescent="0.25">
      <c r="B446" s="39"/>
      <c r="D446" s="59"/>
      <c r="E446" s="68"/>
      <c r="F446" s="95"/>
      <c r="G446" s="21"/>
    </row>
    <row r="447" spans="2:7" s="32" customFormat="1" x14ac:dyDescent="0.25">
      <c r="B447" s="39"/>
      <c r="D447" s="59"/>
      <c r="E447" s="68"/>
      <c r="F447" s="95"/>
      <c r="G447" s="21"/>
    </row>
    <row r="448" spans="2:7" s="32" customFormat="1" x14ac:dyDescent="0.25">
      <c r="B448" s="39"/>
      <c r="D448" s="59"/>
      <c r="E448" s="68"/>
      <c r="F448" s="95"/>
      <c r="G448" s="21"/>
    </row>
    <row r="449" spans="2:7" s="32" customFormat="1" x14ac:dyDescent="0.25">
      <c r="B449" s="39"/>
      <c r="D449" s="59"/>
      <c r="E449" s="68"/>
      <c r="F449" s="95"/>
      <c r="G449" s="21"/>
    </row>
    <row r="450" spans="2:7" s="32" customFormat="1" x14ac:dyDescent="0.25">
      <c r="B450" s="39"/>
      <c r="D450" s="59"/>
      <c r="E450" s="68"/>
      <c r="F450" s="95"/>
      <c r="G450" s="21"/>
    </row>
    <row r="451" spans="2:7" s="32" customFormat="1" x14ac:dyDescent="0.25">
      <c r="B451" s="39"/>
      <c r="D451" s="59"/>
      <c r="E451" s="68"/>
      <c r="F451" s="95"/>
      <c r="G451" s="21"/>
    </row>
    <row r="452" spans="2:7" s="32" customFormat="1" x14ac:dyDescent="0.25">
      <c r="B452" s="39"/>
      <c r="D452" s="59"/>
      <c r="E452" s="68"/>
      <c r="F452" s="95"/>
      <c r="G452" s="21"/>
    </row>
    <row r="453" spans="2:7" s="32" customFormat="1" x14ac:dyDescent="0.25">
      <c r="B453" s="39"/>
      <c r="D453" s="59"/>
      <c r="E453" s="68"/>
      <c r="F453" s="95"/>
      <c r="G453" s="21"/>
    </row>
    <row r="454" spans="2:7" s="32" customFormat="1" x14ac:dyDescent="0.25">
      <c r="B454" s="39"/>
      <c r="D454" s="59"/>
      <c r="E454" s="68"/>
      <c r="F454" s="95"/>
      <c r="G454" s="21"/>
    </row>
    <row r="455" spans="2:7" s="32" customFormat="1" x14ac:dyDescent="0.25">
      <c r="B455" s="39"/>
      <c r="D455" s="59"/>
      <c r="E455" s="68"/>
      <c r="F455" s="95"/>
      <c r="G455" s="21"/>
    </row>
    <row r="456" spans="2:7" s="32" customFormat="1" x14ac:dyDescent="0.25">
      <c r="B456" s="39"/>
      <c r="D456" s="59"/>
      <c r="E456" s="68"/>
      <c r="F456" s="95"/>
      <c r="G456" s="21"/>
    </row>
    <row r="457" spans="2:7" s="32" customFormat="1" x14ac:dyDescent="0.25">
      <c r="B457" s="39"/>
      <c r="D457" s="59"/>
      <c r="E457" s="68"/>
      <c r="F457" s="95"/>
      <c r="G457" s="21"/>
    </row>
    <row r="458" spans="2:7" s="32" customFormat="1" x14ac:dyDescent="0.25">
      <c r="B458" s="39"/>
      <c r="D458" s="59"/>
      <c r="E458" s="68"/>
      <c r="F458" s="95"/>
      <c r="G458" s="21"/>
    </row>
    <row r="459" spans="2:7" s="32" customFormat="1" x14ac:dyDescent="0.25">
      <c r="B459" s="39"/>
      <c r="D459" s="59"/>
      <c r="E459" s="68"/>
      <c r="F459" s="95"/>
      <c r="G459" s="21"/>
    </row>
    <row r="460" spans="2:7" s="32" customFormat="1" x14ac:dyDescent="0.25">
      <c r="B460" s="39"/>
      <c r="D460" s="59"/>
      <c r="E460" s="68"/>
      <c r="F460" s="95"/>
      <c r="G460" s="21"/>
    </row>
    <row r="461" spans="2:7" s="32" customFormat="1" x14ac:dyDescent="0.25">
      <c r="B461" s="39"/>
      <c r="D461" s="59"/>
      <c r="E461" s="68"/>
      <c r="F461" s="95"/>
      <c r="G461" s="21"/>
    </row>
    <row r="462" spans="2:7" s="32" customFormat="1" x14ac:dyDescent="0.25">
      <c r="B462" s="39"/>
      <c r="D462" s="59"/>
      <c r="E462" s="68"/>
      <c r="F462" s="95"/>
      <c r="G462" s="21"/>
    </row>
    <row r="463" spans="2:7" s="32" customFormat="1" x14ac:dyDescent="0.25">
      <c r="B463" s="39"/>
      <c r="D463" s="59"/>
      <c r="E463" s="68"/>
      <c r="F463" s="95"/>
      <c r="G463" s="21"/>
    </row>
    <row r="464" spans="2:7" s="32" customFormat="1" x14ac:dyDescent="0.25">
      <c r="B464" s="39"/>
      <c r="D464" s="59"/>
      <c r="E464" s="68"/>
      <c r="F464" s="95"/>
      <c r="G464" s="21"/>
    </row>
    <row r="465" spans="2:7" s="32" customFormat="1" x14ac:dyDescent="0.25">
      <c r="B465" s="39"/>
      <c r="D465" s="59"/>
      <c r="E465" s="68"/>
      <c r="F465" s="95"/>
      <c r="G465" s="21"/>
    </row>
    <row r="466" spans="2:7" s="32" customFormat="1" x14ac:dyDescent="0.25">
      <c r="B466" s="39"/>
      <c r="D466" s="59"/>
      <c r="E466" s="68"/>
      <c r="F466" s="95"/>
      <c r="G466" s="21"/>
    </row>
    <row r="467" spans="2:7" s="32" customFormat="1" x14ac:dyDescent="0.25">
      <c r="B467" s="39"/>
      <c r="D467" s="59"/>
      <c r="E467" s="68"/>
      <c r="F467" s="95"/>
      <c r="G467" s="21"/>
    </row>
    <row r="468" spans="2:7" s="32" customFormat="1" x14ac:dyDescent="0.25">
      <c r="B468" s="39"/>
      <c r="D468" s="59"/>
      <c r="E468" s="68"/>
      <c r="F468" s="95"/>
      <c r="G468" s="21"/>
    </row>
    <row r="469" spans="2:7" s="32" customFormat="1" x14ac:dyDescent="0.25">
      <c r="B469" s="39"/>
      <c r="D469" s="59"/>
      <c r="E469" s="68"/>
      <c r="F469" s="95"/>
      <c r="G469" s="21"/>
    </row>
    <row r="470" spans="2:7" s="32" customFormat="1" x14ac:dyDescent="0.25">
      <c r="B470" s="39"/>
      <c r="D470" s="59"/>
      <c r="E470" s="68"/>
      <c r="F470" s="95"/>
      <c r="G470" s="21"/>
    </row>
    <row r="471" spans="2:7" s="32" customFormat="1" x14ac:dyDescent="0.25">
      <c r="B471" s="39"/>
      <c r="D471" s="59"/>
      <c r="E471" s="68"/>
      <c r="F471" s="95"/>
      <c r="G471" s="21"/>
    </row>
    <row r="472" spans="2:7" s="32" customFormat="1" x14ac:dyDescent="0.25">
      <c r="B472" s="39"/>
      <c r="D472" s="59"/>
      <c r="E472" s="68"/>
      <c r="F472" s="95"/>
      <c r="G472" s="21"/>
    </row>
    <row r="473" spans="2:7" s="32" customFormat="1" x14ac:dyDescent="0.25">
      <c r="B473" s="39"/>
      <c r="D473" s="59"/>
      <c r="E473" s="68"/>
      <c r="F473" s="95"/>
      <c r="G473" s="21"/>
    </row>
    <row r="474" spans="2:7" s="32" customFormat="1" x14ac:dyDescent="0.25">
      <c r="B474" s="39"/>
      <c r="D474" s="59"/>
      <c r="E474" s="68"/>
      <c r="F474" s="95"/>
      <c r="G474" s="21"/>
    </row>
    <row r="475" spans="2:7" s="32" customFormat="1" x14ac:dyDescent="0.25">
      <c r="B475" s="39"/>
      <c r="D475" s="59"/>
      <c r="E475" s="68"/>
      <c r="F475" s="95"/>
      <c r="G475" s="21"/>
    </row>
    <row r="476" spans="2:7" s="32" customFormat="1" x14ac:dyDescent="0.25">
      <c r="B476" s="39"/>
      <c r="D476" s="59"/>
      <c r="E476" s="68"/>
      <c r="F476" s="95"/>
      <c r="G476" s="21"/>
    </row>
    <row r="477" spans="2:7" s="32" customFormat="1" x14ac:dyDescent="0.25">
      <c r="B477" s="39"/>
      <c r="D477" s="59"/>
      <c r="E477" s="68"/>
      <c r="F477" s="95"/>
      <c r="G477" s="21"/>
    </row>
    <row r="478" spans="2:7" s="32" customFormat="1" x14ac:dyDescent="0.25">
      <c r="B478" s="39"/>
      <c r="D478" s="59"/>
      <c r="E478" s="68"/>
      <c r="F478" s="95"/>
      <c r="G478" s="21"/>
    </row>
    <row r="479" spans="2:7" s="32" customFormat="1" x14ac:dyDescent="0.25">
      <c r="B479" s="39"/>
      <c r="D479" s="59"/>
      <c r="E479" s="68"/>
      <c r="F479" s="95"/>
      <c r="G479" s="21"/>
    </row>
    <row r="480" spans="2:7" s="32" customFormat="1" x14ac:dyDescent="0.25">
      <c r="B480" s="39"/>
      <c r="D480" s="59"/>
      <c r="E480" s="68"/>
      <c r="F480" s="95"/>
      <c r="G480" s="21"/>
    </row>
    <row r="481" spans="2:7" s="32" customFormat="1" x14ac:dyDescent="0.25">
      <c r="B481" s="39"/>
      <c r="D481" s="59"/>
      <c r="E481" s="68"/>
      <c r="F481" s="95"/>
      <c r="G481" s="21"/>
    </row>
    <row r="482" spans="2:7" s="32" customFormat="1" x14ac:dyDescent="0.25">
      <c r="B482" s="39"/>
      <c r="D482" s="59"/>
      <c r="E482" s="68"/>
      <c r="F482" s="95"/>
      <c r="G482" s="21"/>
    </row>
    <row r="483" spans="2:7" s="32" customFormat="1" x14ac:dyDescent="0.25">
      <c r="B483" s="39"/>
      <c r="D483" s="59"/>
      <c r="E483" s="68"/>
      <c r="F483" s="95"/>
      <c r="G483" s="21"/>
    </row>
    <row r="484" spans="2:7" s="32" customFormat="1" x14ac:dyDescent="0.25">
      <c r="B484" s="39"/>
      <c r="D484" s="59"/>
      <c r="E484" s="68"/>
      <c r="F484" s="95"/>
      <c r="G484" s="21"/>
    </row>
    <row r="485" spans="2:7" s="32" customFormat="1" x14ac:dyDescent="0.25">
      <c r="B485" s="39"/>
      <c r="D485" s="59"/>
      <c r="E485" s="68"/>
      <c r="F485" s="95"/>
      <c r="G485" s="21"/>
    </row>
    <row r="486" spans="2:7" s="32" customFormat="1" x14ac:dyDescent="0.25">
      <c r="B486" s="39"/>
      <c r="D486" s="59"/>
      <c r="E486" s="68"/>
      <c r="F486" s="95"/>
      <c r="G486" s="21"/>
    </row>
    <row r="487" spans="2:7" s="32" customFormat="1" x14ac:dyDescent="0.25">
      <c r="B487" s="39"/>
      <c r="D487" s="59"/>
      <c r="E487" s="68"/>
      <c r="F487" s="95"/>
      <c r="G487" s="21"/>
    </row>
    <row r="488" spans="2:7" s="32" customFormat="1" x14ac:dyDescent="0.25">
      <c r="B488" s="39"/>
      <c r="D488" s="59"/>
      <c r="E488" s="68"/>
      <c r="F488" s="95"/>
      <c r="G488" s="21"/>
    </row>
    <row r="489" spans="2:7" s="32" customFormat="1" x14ac:dyDescent="0.25">
      <c r="B489" s="39"/>
      <c r="D489" s="59"/>
      <c r="E489" s="68"/>
      <c r="F489" s="95"/>
      <c r="G489" s="21"/>
    </row>
    <row r="490" spans="2:7" s="32" customFormat="1" x14ac:dyDescent="0.25">
      <c r="B490" s="39"/>
      <c r="D490" s="59"/>
      <c r="E490" s="68"/>
      <c r="F490" s="95"/>
      <c r="G490" s="21"/>
    </row>
    <row r="491" spans="2:7" s="32" customFormat="1" x14ac:dyDescent="0.25">
      <c r="B491" s="39"/>
      <c r="D491" s="59"/>
      <c r="E491" s="68"/>
      <c r="F491" s="95"/>
      <c r="G491" s="21"/>
    </row>
    <row r="492" spans="2:7" s="32" customFormat="1" x14ac:dyDescent="0.25">
      <c r="B492" s="39"/>
      <c r="D492" s="59"/>
      <c r="E492" s="68"/>
      <c r="F492" s="95"/>
      <c r="G492" s="21"/>
    </row>
    <row r="493" spans="2:7" s="32" customFormat="1" x14ac:dyDescent="0.25">
      <c r="B493" s="39"/>
      <c r="D493" s="59"/>
      <c r="E493" s="68"/>
      <c r="F493" s="95"/>
      <c r="G493" s="21"/>
    </row>
    <row r="494" spans="2:7" s="32" customFormat="1" x14ac:dyDescent="0.25">
      <c r="B494" s="39"/>
      <c r="D494" s="59"/>
      <c r="E494" s="68"/>
      <c r="F494" s="95"/>
      <c r="G494" s="21"/>
    </row>
    <row r="495" spans="2:7" s="32" customFormat="1" x14ac:dyDescent="0.25">
      <c r="B495" s="39"/>
      <c r="D495" s="59"/>
      <c r="E495" s="68"/>
      <c r="F495" s="95"/>
      <c r="G495" s="21"/>
    </row>
    <row r="496" spans="2:7" s="32" customFormat="1" x14ac:dyDescent="0.25">
      <c r="B496" s="39"/>
      <c r="D496" s="59"/>
      <c r="E496" s="68"/>
      <c r="F496" s="95"/>
      <c r="G496" s="21"/>
    </row>
    <row r="497" spans="2:7" s="32" customFormat="1" x14ac:dyDescent="0.25">
      <c r="B497" s="39"/>
      <c r="D497" s="59"/>
      <c r="E497" s="68"/>
      <c r="F497" s="95"/>
      <c r="G497" s="21"/>
    </row>
    <row r="498" spans="2:7" s="32" customFormat="1" x14ac:dyDescent="0.25">
      <c r="B498" s="39"/>
      <c r="D498" s="59"/>
      <c r="E498" s="68"/>
      <c r="F498" s="95"/>
      <c r="G498" s="21"/>
    </row>
    <row r="499" spans="2:7" s="32" customFormat="1" x14ac:dyDescent="0.25">
      <c r="B499" s="39"/>
      <c r="D499" s="59"/>
      <c r="E499" s="68"/>
      <c r="F499" s="95"/>
      <c r="G499" s="21"/>
    </row>
    <row r="500" spans="2:7" s="32" customFormat="1" x14ac:dyDescent="0.25">
      <c r="B500" s="39"/>
      <c r="D500" s="59"/>
      <c r="E500" s="68"/>
      <c r="F500" s="95"/>
      <c r="G500" s="21"/>
    </row>
    <row r="501" spans="2:7" s="32" customFormat="1" x14ac:dyDescent="0.25">
      <c r="B501" s="39"/>
      <c r="D501" s="59"/>
      <c r="E501" s="68"/>
      <c r="F501" s="95"/>
      <c r="G501" s="21"/>
    </row>
    <row r="502" spans="2:7" s="32" customFormat="1" x14ac:dyDescent="0.25">
      <c r="B502" s="39"/>
      <c r="D502" s="59"/>
      <c r="E502" s="68"/>
      <c r="F502" s="95"/>
      <c r="G502" s="21"/>
    </row>
    <row r="503" spans="2:7" s="32" customFormat="1" x14ac:dyDescent="0.25">
      <c r="B503" s="39"/>
      <c r="D503" s="59"/>
      <c r="E503" s="68"/>
      <c r="F503" s="95"/>
      <c r="G503" s="21"/>
    </row>
    <row r="504" spans="2:7" s="32" customFormat="1" x14ac:dyDescent="0.25">
      <c r="B504" s="39"/>
      <c r="D504" s="59"/>
      <c r="E504" s="68"/>
      <c r="F504" s="95"/>
      <c r="G504" s="21"/>
    </row>
    <row r="505" spans="2:7" s="32" customFormat="1" x14ac:dyDescent="0.25">
      <c r="B505" s="39"/>
      <c r="D505" s="59"/>
      <c r="E505" s="68"/>
      <c r="F505" s="95"/>
      <c r="G505" s="21"/>
    </row>
    <row r="506" spans="2:7" s="32" customFormat="1" x14ac:dyDescent="0.25">
      <c r="B506" s="39"/>
      <c r="D506" s="59"/>
      <c r="E506" s="68"/>
      <c r="F506" s="95"/>
      <c r="G506" s="21"/>
    </row>
    <row r="507" spans="2:7" s="32" customFormat="1" x14ac:dyDescent="0.25">
      <c r="B507" s="39"/>
      <c r="D507" s="59"/>
      <c r="E507" s="68"/>
      <c r="F507" s="95"/>
      <c r="G507" s="21"/>
    </row>
    <row r="508" spans="2:7" s="32" customFormat="1" x14ac:dyDescent="0.25">
      <c r="B508" s="39"/>
      <c r="D508" s="59"/>
      <c r="E508" s="68"/>
      <c r="F508" s="95"/>
      <c r="G508" s="21"/>
    </row>
    <row r="509" spans="2:7" s="32" customFormat="1" x14ac:dyDescent="0.25">
      <c r="B509" s="39"/>
      <c r="D509" s="59"/>
      <c r="E509" s="68"/>
      <c r="F509" s="95"/>
      <c r="G509" s="21"/>
    </row>
    <row r="510" spans="2:7" s="32" customFormat="1" x14ac:dyDescent="0.25">
      <c r="B510" s="39"/>
      <c r="D510" s="59"/>
      <c r="E510" s="68"/>
      <c r="F510" s="95"/>
      <c r="G510" s="21"/>
    </row>
    <row r="511" spans="2:7" s="32" customFormat="1" x14ac:dyDescent="0.25">
      <c r="B511" s="39"/>
      <c r="D511" s="59"/>
      <c r="E511" s="68"/>
      <c r="F511" s="95"/>
      <c r="G511" s="21"/>
    </row>
    <row r="512" spans="2:7" s="32" customFormat="1" x14ac:dyDescent="0.25">
      <c r="B512" s="39"/>
      <c r="D512" s="59"/>
      <c r="E512" s="68"/>
      <c r="F512" s="95"/>
      <c r="G512" s="21"/>
    </row>
    <row r="513" spans="2:7" s="32" customFormat="1" x14ac:dyDescent="0.25">
      <c r="B513" s="39"/>
      <c r="D513" s="59"/>
      <c r="E513" s="68"/>
      <c r="F513" s="95"/>
      <c r="G513" s="21"/>
    </row>
    <row r="514" spans="2:7" s="32" customFormat="1" x14ac:dyDescent="0.25">
      <c r="B514" s="39"/>
      <c r="D514" s="59"/>
      <c r="E514" s="68"/>
      <c r="F514" s="95"/>
      <c r="G514" s="21"/>
    </row>
    <row r="515" spans="2:7" s="32" customFormat="1" x14ac:dyDescent="0.25">
      <c r="B515" s="39"/>
      <c r="D515" s="59"/>
      <c r="E515" s="68"/>
      <c r="F515" s="95"/>
      <c r="G515" s="21"/>
    </row>
    <row r="516" spans="2:7" s="32" customFormat="1" x14ac:dyDescent="0.25">
      <c r="B516" s="39"/>
      <c r="D516" s="59"/>
      <c r="E516" s="68"/>
      <c r="F516" s="95"/>
      <c r="G516" s="21"/>
    </row>
    <row r="517" spans="2:7" s="32" customFormat="1" x14ac:dyDescent="0.25">
      <c r="B517" s="39"/>
      <c r="D517" s="59"/>
      <c r="E517" s="68"/>
      <c r="F517" s="95"/>
      <c r="G517" s="21"/>
    </row>
    <row r="518" spans="2:7" s="32" customFormat="1" x14ac:dyDescent="0.25">
      <c r="B518" s="39"/>
      <c r="D518" s="59"/>
      <c r="E518" s="68"/>
      <c r="F518" s="95"/>
      <c r="G518" s="21"/>
    </row>
    <row r="519" spans="2:7" s="32" customFormat="1" x14ac:dyDescent="0.25">
      <c r="B519" s="39"/>
      <c r="D519" s="59"/>
      <c r="E519" s="68"/>
      <c r="F519" s="95"/>
      <c r="G519" s="21"/>
    </row>
    <row r="520" spans="2:7" s="32" customFormat="1" x14ac:dyDescent="0.25">
      <c r="B520" s="39"/>
      <c r="D520" s="59"/>
      <c r="E520" s="68"/>
      <c r="F520" s="95"/>
      <c r="G520" s="21"/>
    </row>
    <row r="521" spans="2:7" s="32" customFormat="1" x14ac:dyDescent="0.25">
      <c r="B521" s="39"/>
      <c r="D521" s="59"/>
      <c r="E521" s="68"/>
      <c r="F521" s="95"/>
      <c r="G521" s="21"/>
    </row>
    <row r="522" spans="2:7" s="32" customFormat="1" x14ac:dyDescent="0.25">
      <c r="B522" s="39"/>
      <c r="D522" s="59"/>
      <c r="E522" s="68"/>
      <c r="F522" s="95"/>
      <c r="G522" s="21"/>
    </row>
    <row r="523" spans="2:7" s="32" customFormat="1" x14ac:dyDescent="0.25">
      <c r="B523" s="39"/>
      <c r="D523" s="59"/>
      <c r="E523" s="68"/>
      <c r="F523" s="95"/>
      <c r="G523" s="21"/>
    </row>
    <row r="524" spans="2:7" s="32" customFormat="1" x14ac:dyDescent="0.25">
      <c r="B524" s="39"/>
      <c r="D524" s="59"/>
      <c r="E524" s="68"/>
      <c r="F524" s="95"/>
      <c r="G524" s="21"/>
    </row>
    <row r="525" spans="2:7" s="32" customFormat="1" x14ac:dyDescent="0.25">
      <c r="B525" s="39"/>
      <c r="D525" s="59"/>
      <c r="E525" s="68"/>
      <c r="F525" s="95"/>
      <c r="G525" s="21"/>
    </row>
    <row r="526" spans="2:7" s="32" customFormat="1" x14ac:dyDescent="0.25">
      <c r="B526" s="39"/>
      <c r="D526" s="59"/>
      <c r="E526" s="68"/>
      <c r="F526" s="95"/>
      <c r="G526" s="21"/>
    </row>
    <row r="527" spans="2:7" s="32" customFormat="1" x14ac:dyDescent="0.25">
      <c r="B527" s="39"/>
      <c r="D527" s="59"/>
      <c r="E527" s="68"/>
      <c r="F527" s="95"/>
      <c r="G527" s="21"/>
    </row>
    <row r="528" spans="2:7" s="32" customFormat="1" x14ac:dyDescent="0.25">
      <c r="B528" s="39"/>
      <c r="D528" s="59"/>
      <c r="E528" s="68"/>
      <c r="F528" s="95"/>
      <c r="G528" s="21"/>
    </row>
    <row r="529" spans="2:7" s="32" customFormat="1" x14ac:dyDescent="0.25">
      <c r="B529" s="39"/>
      <c r="D529" s="59"/>
      <c r="E529" s="68"/>
      <c r="F529" s="95"/>
      <c r="G529" s="21"/>
    </row>
    <row r="530" spans="2:7" s="32" customFormat="1" x14ac:dyDescent="0.25">
      <c r="B530" s="39"/>
      <c r="D530" s="59"/>
      <c r="E530" s="68"/>
      <c r="F530" s="95"/>
      <c r="G530" s="21"/>
    </row>
    <row r="531" spans="2:7" s="32" customFormat="1" x14ac:dyDescent="0.25">
      <c r="B531" s="39"/>
      <c r="D531" s="59"/>
      <c r="E531" s="68"/>
      <c r="F531" s="95"/>
      <c r="G531" s="21"/>
    </row>
    <row r="532" spans="2:7" s="32" customFormat="1" x14ac:dyDescent="0.25">
      <c r="B532" s="39"/>
      <c r="D532" s="59"/>
      <c r="E532" s="68"/>
      <c r="F532" s="95"/>
      <c r="G532" s="21"/>
    </row>
    <row r="533" spans="2:7" s="32" customFormat="1" x14ac:dyDescent="0.25">
      <c r="B533" s="39"/>
      <c r="D533" s="59"/>
      <c r="E533" s="68"/>
      <c r="F533" s="95"/>
      <c r="G533" s="21"/>
    </row>
    <row r="534" spans="2:7" s="32" customFormat="1" x14ac:dyDescent="0.25">
      <c r="B534" s="39"/>
      <c r="D534" s="59"/>
      <c r="E534" s="68"/>
      <c r="F534" s="95"/>
      <c r="G534" s="21"/>
    </row>
    <row r="535" spans="2:7" s="32" customFormat="1" x14ac:dyDescent="0.25">
      <c r="B535" s="39"/>
      <c r="D535" s="59"/>
      <c r="E535" s="68"/>
      <c r="F535" s="95"/>
      <c r="G535" s="21"/>
    </row>
    <row r="536" spans="2:7" s="32" customFormat="1" x14ac:dyDescent="0.25">
      <c r="B536" s="39"/>
      <c r="D536" s="59"/>
      <c r="E536" s="68"/>
      <c r="F536" s="95"/>
      <c r="G536" s="21"/>
    </row>
    <row r="537" spans="2:7" s="32" customFormat="1" x14ac:dyDescent="0.25">
      <c r="B537" s="39"/>
      <c r="D537" s="59"/>
      <c r="E537" s="68"/>
      <c r="F537" s="95"/>
      <c r="G537" s="21"/>
    </row>
    <row r="538" spans="2:7" s="32" customFormat="1" x14ac:dyDescent="0.25">
      <c r="B538" s="39"/>
      <c r="D538" s="59"/>
      <c r="E538" s="68"/>
      <c r="F538" s="95"/>
      <c r="G538" s="21"/>
    </row>
    <row r="539" spans="2:7" s="32" customFormat="1" x14ac:dyDescent="0.25">
      <c r="B539" s="39"/>
      <c r="D539" s="59"/>
      <c r="E539" s="68"/>
      <c r="F539" s="95"/>
      <c r="G539" s="21"/>
    </row>
    <row r="540" spans="2:7" s="32" customFormat="1" x14ac:dyDescent="0.25">
      <c r="B540" s="39"/>
      <c r="D540" s="59"/>
      <c r="E540" s="68"/>
      <c r="F540" s="95"/>
      <c r="G540" s="21"/>
    </row>
    <row r="541" spans="2:7" s="32" customFormat="1" x14ac:dyDescent="0.25">
      <c r="B541" s="39"/>
      <c r="D541" s="59"/>
      <c r="E541" s="68"/>
      <c r="F541" s="95"/>
      <c r="G541" s="21"/>
    </row>
    <row r="542" spans="2:7" s="32" customFormat="1" x14ac:dyDescent="0.25">
      <c r="B542" s="39"/>
      <c r="D542" s="59"/>
      <c r="E542" s="68"/>
      <c r="F542" s="95"/>
      <c r="G542" s="21"/>
    </row>
    <row r="543" spans="2:7" s="32" customFormat="1" x14ac:dyDescent="0.25">
      <c r="B543" s="39"/>
      <c r="D543" s="59"/>
      <c r="E543" s="68"/>
      <c r="F543" s="95"/>
      <c r="G543" s="21"/>
    </row>
    <row r="544" spans="2:7" s="32" customFormat="1" x14ac:dyDescent="0.25">
      <c r="B544" s="39"/>
      <c r="D544" s="59"/>
      <c r="E544" s="68"/>
      <c r="F544" s="95"/>
      <c r="G544" s="21"/>
    </row>
    <row r="545" spans="2:7" s="32" customFormat="1" x14ac:dyDescent="0.25">
      <c r="B545" s="39"/>
      <c r="D545" s="59"/>
      <c r="E545" s="68"/>
      <c r="F545" s="95"/>
      <c r="G545" s="21"/>
    </row>
    <row r="546" spans="2:7" s="32" customFormat="1" x14ac:dyDescent="0.25">
      <c r="B546" s="39"/>
      <c r="D546" s="59"/>
      <c r="E546" s="68"/>
      <c r="F546" s="95"/>
      <c r="G546" s="21"/>
    </row>
    <row r="547" spans="2:7" s="32" customFormat="1" x14ac:dyDescent="0.25">
      <c r="B547" s="39"/>
      <c r="D547" s="59"/>
      <c r="E547" s="68"/>
      <c r="F547" s="95"/>
      <c r="G547" s="21"/>
    </row>
    <row r="548" spans="2:7" s="32" customFormat="1" x14ac:dyDescent="0.25">
      <c r="B548" s="39"/>
      <c r="D548" s="59"/>
      <c r="E548" s="68"/>
      <c r="F548" s="95"/>
      <c r="G548" s="21"/>
    </row>
    <row r="549" spans="2:7" s="32" customFormat="1" x14ac:dyDescent="0.25">
      <c r="B549" s="39"/>
      <c r="D549" s="59"/>
      <c r="E549" s="68"/>
      <c r="F549" s="95"/>
      <c r="G549" s="21"/>
    </row>
    <row r="550" spans="2:7" s="32" customFormat="1" x14ac:dyDescent="0.25">
      <c r="B550" s="39"/>
      <c r="D550" s="59"/>
      <c r="E550" s="68"/>
      <c r="F550" s="95"/>
      <c r="G550" s="21"/>
    </row>
    <row r="551" spans="2:7" s="32" customFormat="1" x14ac:dyDescent="0.25">
      <c r="B551" s="39"/>
      <c r="D551" s="59"/>
      <c r="E551" s="68"/>
      <c r="F551" s="95"/>
      <c r="G551" s="21"/>
    </row>
    <row r="552" spans="2:7" s="32" customFormat="1" x14ac:dyDescent="0.25">
      <c r="B552" s="39"/>
      <c r="D552" s="59"/>
      <c r="E552" s="68"/>
      <c r="F552" s="95"/>
      <c r="G552" s="21"/>
    </row>
    <row r="553" spans="2:7" s="32" customFormat="1" x14ac:dyDescent="0.25">
      <c r="B553" s="39"/>
      <c r="D553" s="59"/>
      <c r="E553" s="68"/>
      <c r="F553" s="95"/>
      <c r="G553" s="21"/>
    </row>
    <row r="554" spans="2:7" s="32" customFormat="1" x14ac:dyDescent="0.25">
      <c r="B554" s="39"/>
      <c r="D554" s="59"/>
      <c r="E554" s="68"/>
      <c r="F554" s="95"/>
      <c r="G554" s="21"/>
    </row>
    <row r="555" spans="2:7" s="32" customFormat="1" x14ac:dyDescent="0.25">
      <c r="B555" s="39"/>
      <c r="D555" s="59"/>
      <c r="E555" s="68"/>
      <c r="F555" s="95"/>
      <c r="G555" s="21"/>
    </row>
    <row r="556" spans="2:7" s="32" customFormat="1" x14ac:dyDescent="0.25">
      <c r="B556" s="39"/>
      <c r="D556" s="59"/>
      <c r="E556" s="68"/>
      <c r="F556" s="95"/>
      <c r="G556" s="21"/>
    </row>
    <row r="557" spans="2:7" s="32" customFormat="1" x14ac:dyDescent="0.25">
      <c r="B557" s="39"/>
      <c r="D557" s="59"/>
      <c r="E557" s="68"/>
      <c r="F557" s="95"/>
      <c r="G557" s="21"/>
    </row>
    <row r="558" spans="2:7" s="32" customFormat="1" x14ac:dyDescent="0.25">
      <c r="B558" s="39"/>
      <c r="D558" s="59"/>
      <c r="E558" s="68"/>
      <c r="F558" s="95"/>
      <c r="G558" s="21"/>
    </row>
    <row r="559" spans="2:7" s="32" customFormat="1" x14ac:dyDescent="0.25">
      <c r="B559" s="39"/>
      <c r="D559" s="59"/>
      <c r="E559" s="68"/>
      <c r="F559" s="95"/>
      <c r="G559" s="21"/>
    </row>
    <row r="560" spans="2:7" s="32" customFormat="1" x14ac:dyDescent="0.25">
      <c r="B560" s="39"/>
      <c r="D560" s="59"/>
      <c r="E560" s="68"/>
      <c r="F560" s="95"/>
      <c r="G560" s="21"/>
    </row>
    <row r="561" spans="2:7" s="32" customFormat="1" x14ac:dyDescent="0.25">
      <c r="B561" s="39"/>
      <c r="D561" s="59"/>
      <c r="E561" s="68"/>
      <c r="F561" s="95"/>
      <c r="G561" s="21"/>
    </row>
    <row r="562" spans="2:7" s="32" customFormat="1" x14ac:dyDescent="0.25">
      <c r="B562" s="39"/>
      <c r="D562" s="59"/>
      <c r="E562" s="68"/>
      <c r="F562" s="95"/>
      <c r="G562" s="21"/>
    </row>
    <row r="563" spans="2:7" s="32" customFormat="1" x14ac:dyDescent="0.25">
      <c r="B563" s="39"/>
      <c r="D563" s="59"/>
      <c r="E563" s="68"/>
      <c r="F563" s="95"/>
      <c r="G563" s="21"/>
    </row>
    <row r="564" spans="2:7" s="32" customFormat="1" x14ac:dyDescent="0.25">
      <c r="B564" s="39"/>
      <c r="D564" s="59"/>
      <c r="E564" s="68"/>
      <c r="F564" s="95"/>
      <c r="G564" s="21"/>
    </row>
    <row r="565" spans="2:7" s="32" customFormat="1" x14ac:dyDescent="0.25">
      <c r="B565" s="39"/>
      <c r="D565" s="59"/>
      <c r="E565" s="68"/>
      <c r="F565" s="95"/>
      <c r="G565" s="21"/>
    </row>
    <row r="566" spans="2:7" s="32" customFormat="1" x14ac:dyDescent="0.25">
      <c r="B566" s="39"/>
      <c r="D566" s="59"/>
      <c r="E566" s="68"/>
      <c r="F566" s="95"/>
      <c r="G566" s="21"/>
    </row>
    <row r="567" spans="2:7" s="32" customFormat="1" x14ac:dyDescent="0.25">
      <c r="B567" s="39"/>
      <c r="D567" s="59"/>
      <c r="E567" s="68"/>
      <c r="F567" s="95"/>
      <c r="G567" s="21"/>
    </row>
    <row r="568" spans="2:7" s="32" customFormat="1" x14ac:dyDescent="0.25">
      <c r="B568" s="39"/>
      <c r="D568" s="59"/>
      <c r="E568" s="68"/>
      <c r="F568" s="95"/>
      <c r="G568" s="21"/>
    </row>
    <row r="569" spans="2:7" s="32" customFormat="1" x14ac:dyDescent="0.25">
      <c r="B569" s="39"/>
      <c r="D569" s="59"/>
      <c r="E569" s="68"/>
      <c r="F569" s="95"/>
      <c r="G569" s="21"/>
    </row>
    <row r="570" spans="2:7" s="32" customFormat="1" x14ac:dyDescent="0.25">
      <c r="B570" s="39"/>
      <c r="D570" s="59"/>
      <c r="E570" s="68"/>
      <c r="F570" s="95"/>
      <c r="G570" s="21"/>
    </row>
    <row r="571" spans="2:7" s="32" customFormat="1" x14ac:dyDescent="0.25">
      <c r="B571" s="39"/>
      <c r="D571" s="59"/>
      <c r="E571" s="68"/>
      <c r="F571" s="95"/>
      <c r="G571" s="21"/>
    </row>
    <row r="572" spans="2:7" s="32" customFormat="1" x14ac:dyDescent="0.25">
      <c r="B572" s="39"/>
      <c r="D572" s="59"/>
      <c r="E572" s="68"/>
      <c r="F572" s="95"/>
      <c r="G572" s="21"/>
    </row>
    <row r="573" spans="2:7" s="32" customFormat="1" x14ac:dyDescent="0.25">
      <c r="B573" s="39"/>
      <c r="D573" s="59"/>
      <c r="E573" s="68"/>
      <c r="F573" s="95"/>
      <c r="G573" s="21"/>
    </row>
    <row r="574" spans="2:7" s="32" customFormat="1" x14ac:dyDescent="0.25">
      <c r="B574" s="39"/>
      <c r="D574" s="59"/>
      <c r="E574" s="68"/>
      <c r="F574" s="95"/>
      <c r="G574" s="21"/>
    </row>
    <row r="575" spans="2:7" s="32" customFormat="1" x14ac:dyDescent="0.25">
      <c r="B575" s="39"/>
      <c r="D575" s="59"/>
      <c r="E575" s="68"/>
      <c r="F575" s="95"/>
      <c r="G575" s="21"/>
    </row>
    <row r="576" spans="2:7" s="32" customFormat="1" x14ac:dyDescent="0.25">
      <c r="B576" s="39"/>
      <c r="D576" s="59"/>
      <c r="E576" s="68"/>
      <c r="F576" s="95"/>
      <c r="G576" s="21"/>
    </row>
    <row r="577" spans="2:7" s="32" customFormat="1" x14ac:dyDescent="0.25">
      <c r="B577" s="39"/>
      <c r="D577" s="59"/>
      <c r="E577" s="68"/>
      <c r="F577" s="95"/>
      <c r="G577" s="21"/>
    </row>
    <row r="578" spans="2:7" s="32" customFormat="1" x14ac:dyDescent="0.25">
      <c r="B578" s="39"/>
      <c r="D578" s="59"/>
      <c r="E578" s="68"/>
      <c r="F578" s="95"/>
      <c r="G578" s="21"/>
    </row>
    <row r="579" spans="2:7" s="32" customFormat="1" x14ac:dyDescent="0.25">
      <c r="B579" s="39"/>
      <c r="D579" s="59"/>
      <c r="E579" s="68"/>
      <c r="F579" s="95"/>
      <c r="G579" s="21"/>
    </row>
    <row r="580" spans="2:7" s="32" customFormat="1" x14ac:dyDescent="0.25">
      <c r="B580" s="39"/>
      <c r="D580" s="59"/>
      <c r="E580" s="68"/>
      <c r="F580" s="95"/>
      <c r="G580" s="21"/>
    </row>
    <row r="581" spans="2:7" s="32" customFormat="1" x14ac:dyDescent="0.25">
      <c r="B581" s="39"/>
      <c r="D581" s="59"/>
      <c r="E581" s="68"/>
      <c r="F581" s="95"/>
      <c r="G581" s="21"/>
    </row>
    <row r="582" spans="2:7" s="32" customFormat="1" x14ac:dyDescent="0.25">
      <c r="B582" s="39"/>
      <c r="D582" s="59"/>
      <c r="E582" s="68"/>
      <c r="F582" s="95"/>
      <c r="G582" s="21"/>
    </row>
    <row r="583" spans="2:7" s="32" customFormat="1" x14ac:dyDescent="0.25">
      <c r="B583" s="39"/>
      <c r="D583" s="59"/>
      <c r="E583" s="68"/>
      <c r="F583" s="95"/>
      <c r="G583" s="21"/>
    </row>
    <row r="584" spans="2:7" s="32" customFormat="1" x14ac:dyDescent="0.25">
      <c r="B584" s="39"/>
      <c r="D584" s="59"/>
      <c r="E584" s="68"/>
      <c r="F584" s="95"/>
      <c r="G584" s="21"/>
    </row>
    <row r="585" spans="2:7" s="32" customFormat="1" x14ac:dyDescent="0.25">
      <c r="B585" s="39"/>
      <c r="D585" s="59"/>
      <c r="E585" s="68"/>
      <c r="F585" s="95"/>
      <c r="G585" s="21"/>
    </row>
    <row r="586" spans="2:7" s="32" customFormat="1" x14ac:dyDescent="0.25">
      <c r="B586" s="39"/>
      <c r="D586" s="59"/>
      <c r="E586" s="68"/>
      <c r="F586" s="95"/>
      <c r="G586" s="21"/>
    </row>
    <row r="587" spans="2:7" s="32" customFormat="1" x14ac:dyDescent="0.25">
      <c r="B587" s="39"/>
      <c r="D587" s="59"/>
      <c r="E587" s="68"/>
      <c r="F587" s="95"/>
      <c r="G587" s="21"/>
    </row>
    <row r="588" spans="2:7" s="32" customFormat="1" x14ac:dyDescent="0.25">
      <c r="B588" s="39"/>
      <c r="D588" s="59"/>
      <c r="E588" s="68"/>
      <c r="F588" s="95"/>
      <c r="G588" s="21"/>
    </row>
    <row r="589" spans="2:7" s="32" customFormat="1" x14ac:dyDescent="0.25">
      <c r="B589" s="39"/>
      <c r="D589" s="59"/>
      <c r="E589" s="68"/>
      <c r="F589" s="95"/>
      <c r="G589" s="21"/>
    </row>
    <row r="590" spans="2:7" s="32" customFormat="1" x14ac:dyDescent="0.25">
      <c r="B590" s="39"/>
      <c r="D590" s="59"/>
      <c r="E590" s="68"/>
      <c r="F590" s="95"/>
      <c r="G590" s="21"/>
    </row>
    <row r="591" spans="2:7" s="32" customFormat="1" x14ac:dyDescent="0.25">
      <c r="B591" s="39"/>
      <c r="D591" s="59"/>
      <c r="E591" s="68"/>
      <c r="F591" s="95"/>
      <c r="G591" s="21"/>
    </row>
    <row r="592" spans="2:7" s="32" customFormat="1" x14ac:dyDescent="0.25">
      <c r="B592" s="39"/>
      <c r="D592" s="59"/>
      <c r="E592" s="68"/>
      <c r="F592" s="95"/>
      <c r="G592" s="21"/>
    </row>
    <row r="593" spans="2:7" s="32" customFormat="1" x14ac:dyDescent="0.25">
      <c r="B593" s="39"/>
      <c r="D593" s="59"/>
      <c r="E593" s="68"/>
      <c r="F593" s="95"/>
      <c r="G593" s="21"/>
    </row>
    <row r="594" spans="2:7" s="32" customFormat="1" x14ac:dyDescent="0.25">
      <c r="B594" s="39"/>
      <c r="D594" s="59"/>
      <c r="E594" s="68"/>
      <c r="F594" s="95"/>
      <c r="G594" s="21"/>
    </row>
    <row r="595" spans="2:7" s="32" customFormat="1" x14ac:dyDescent="0.25">
      <c r="B595" s="39"/>
      <c r="D595" s="59"/>
      <c r="E595" s="68"/>
      <c r="F595" s="95"/>
      <c r="G595" s="21"/>
    </row>
    <row r="596" spans="2:7" s="32" customFormat="1" x14ac:dyDescent="0.25">
      <c r="B596" s="39"/>
      <c r="D596" s="59"/>
      <c r="E596" s="68"/>
      <c r="F596" s="95"/>
      <c r="G596" s="21"/>
    </row>
    <row r="597" spans="2:7" s="32" customFormat="1" x14ac:dyDescent="0.25">
      <c r="B597" s="39"/>
      <c r="D597" s="59"/>
      <c r="E597" s="68"/>
      <c r="F597" s="95"/>
      <c r="G597" s="21"/>
    </row>
    <row r="598" spans="2:7" s="32" customFormat="1" x14ac:dyDescent="0.25">
      <c r="B598" s="39"/>
      <c r="D598" s="59"/>
      <c r="E598" s="68"/>
      <c r="F598" s="95"/>
      <c r="G598" s="21"/>
    </row>
    <row r="599" spans="2:7" s="32" customFormat="1" x14ac:dyDescent="0.25">
      <c r="B599" s="39"/>
      <c r="D599" s="59"/>
      <c r="E599" s="68"/>
      <c r="F599" s="95"/>
      <c r="G599" s="21"/>
    </row>
    <row r="600" spans="2:7" s="32" customFormat="1" x14ac:dyDescent="0.25">
      <c r="B600" s="39"/>
      <c r="D600" s="59"/>
      <c r="E600" s="68"/>
      <c r="F600" s="95"/>
      <c r="G600" s="21"/>
    </row>
    <row r="601" spans="2:7" s="32" customFormat="1" x14ac:dyDescent="0.25">
      <c r="B601" s="39"/>
      <c r="D601" s="59"/>
      <c r="E601" s="68"/>
      <c r="F601" s="95"/>
      <c r="G601" s="21"/>
    </row>
    <row r="602" spans="2:7" s="32" customFormat="1" x14ac:dyDescent="0.25">
      <c r="B602" s="39"/>
      <c r="D602" s="59"/>
      <c r="E602" s="68"/>
      <c r="F602" s="95"/>
      <c r="G602" s="21"/>
    </row>
    <row r="603" spans="2:7" s="32" customFormat="1" x14ac:dyDescent="0.25">
      <c r="B603" s="39"/>
      <c r="D603" s="59"/>
      <c r="E603" s="68"/>
      <c r="F603" s="95"/>
      <c r="G603" s="21"/>
    </row>
    <row r="604" spans="2:7" s="32" customFormat="1" x14ac:dyDescent="0.25">
      <c r="B604" s="39"/>
      <c r="D604" s="59"/>
      <c r="E604" s="68"/>
      <c r="F604" s="95"/>
      <c r="G604" s="21"/>
    </row>
    <row r="605" spans="2:7" s="32" customFormat="1" x14ac:dyDescent="0.25">
      <c r="B605" s="39"/>
      <c r="D605" s="59"/>
      <c r="E605" s="68"/>
      <c r="F605" s="95"/>
      <c r="G605" s="21"/>
    </row>
    <row r="606" spans="2:7" s="32" customFormat="1" x14ac:dyDescent="0.25">
      <c r="B606" s="39"/>
      <c r="D606" s="59"/>
      <c r="E606" s="68"/>
      <c r="F606" s="95"/>
      <c r="G606" s="21"/>
    </row>
    <row r="607" spans="2:7" s="32" customFormat="1" x14ac:dyDescent="0.25">
      <c r="B607" s="39"/>
      <c r="D607" s="59"/>
      <c r="E607" s="68"/>
      <c r="F607" s="95"/>
      <c r="G607" s="21"/>
    </row>
    <row r="608" spans="2:7" s="32" customFormat="1" x14ac:dyDescent="0.25">
      <c r="B608" s="39"/>
      <c r="D608" s="59"/>
      <c r="E608" s="68"/>
      <c r="F608" s="95"/>
      <c r="G608" s="21"/>
    </row>
    <row r="609" spans="2:7" s="32" customFormat="1" x14ac:dyDescent="0.25">
      <c r="B609" s="39"/>
      <c r="D609" s="59"/>
      <c r="E609" s="68"/>
      <c r="F609" s="95"/>
      <c r="G609" s="21"/>
    </row>
    <row r="610" spans="2:7" s="32" customFormat="1" x14ac:dyDescent="0.25">
      <c r="B610" s="39"/>
      <c r="D610" s="59"/>
      <c r="E610" s="68"/>
      <c r="F610" s="95"/>
      <c r="G610" s="21"/>
    </row>
    <row r="611" spans="2:7" s="32" customFormat="1" x14ac:dyDescent="0.25">
      <c r="B611" s="39"/>
      <c r="D611" s="59"/>
      <c r="E611" s="68"/>
      <c r="F611" s="95"/>
      <c r="G611" s="21"/>
    </row>
    <row r="612" spans="2:7" s="32" customFormat="1" x14ac:dyDescent="0.25">
      <c r="B612" s="39"/>
      <c r="D612" s="59"/>
      <c r="E612" s="68"/>
      <c r="F612" s="95"/>
      <c r="G612" s="21"/>
    </row>
    <row r="613" spans="2:7" s="32" customFormat="1" x14ac:dyDescent="0.25">
      <c r="B613" s="39"/>
      <c r="D613" s="59"/>
      <c r="E613" s="68"/>
      <c r="F613" s="95"/>
      <c r="G613" s="21"/>
    </row>
    <row r="614" spans="2:7" s="32" customFormat="1" x14ac:dyDescent="0.25">
      <c r="B614" s="39"/>
      <c r="D614" s="59"/>
      <c r="E614" s="68"/>
      <c r="F614" s="95"/>
      <c r="G614" s="21"/>
    </row>
    <row r="615" spans="2:7" s="32" customFormat="1" x14ac:dyDescent="0.25">
      <c r="B615" s="39"/>
      <c r="D615" s="59"/>
      <c r="E615" s="68"/>
      <c r="F615" s="95"/>
      <c r="G615" s="21"/>
    </row>
    <row r="616" spans="2:7" s="32" customFormat="1" x14ac:dyDescent="0.25">
      <c r="B616" s="39"/>
      <c r="D616" s="59"/>
      <c r="E616" s="68"/>
      <c r="F616" s="95"/>
      <c r="G616" s="21"/>
    </row>
    <row r="617" spans="2:7" s="32" customFormat="1" x14ac:dyDescent="0.25">
      <c r="B617" s="39"/>
      <c r="D617" s="59"/>
      <c r="E617" s="68"/>
      <c r="F617" s="95"/>
      <c r="G617" s="21"/>
    </row>
    <row r="618" spans="2:7" s="32" customFormat="1" x14ac:dyDescent="0.25">
      <c r="B618" s="39"/>
      <c r="D618" s="59"/>
      <c r="E618" s="68"/>
      <c r="F618" s="95"/>
      <c r="G618" s="21"/>
    </row>
    <row r="619" spans="2:7" s="32" customFormat="1" x14ac:dyDescent="0.25">
      <c r="B619" s="39"/>
      <c r="D619" s="59"/>
      <c r="E619" s="68"/>
      <c r="F619" s="95"/>
      <c r="G619" s="21"/>
    </row>
    <row r="620" spans="2:7" s="32" customFormat="1" x14ac:dyDescent="0.25">
      <c r="B620" s="39"/>
      <c r="D620" s="59"/>
      <c r="E620" s="68"/>
      <c r="F620" s="95"/>
      <c r="G620" s="21"/>
    </row>
    <row r="621" spans="2:7" s="32" customFormat="1" x14ac:dyDescent="0.25">
      <c r="B621" s="39"/>
      <c r="D621" s="59"/>
      <c r="E621" s="68"/>
      <c r="F621" s="95"/>
      <c r="G621" s="21"/>
    </row>
    <row r="622" spans="2:7" s="32" customFormat="1" x14ac:dyDescent="0.25">
      <c r="B622" s="39"/>
      <c r="D622" s="59"/>
      <c r="E622" s="68"/>
      <c r="F622" s="95"/>
      <c r="G622" s="21"/>
    </row>
    <row r="623" spans="2:7" s="32" customFormat="1" x14ac:dyDescent="0.25">
      <c r="B623" s="39"/>
      <c r="D623" s="59"/>
      <c r="E623" s="68"/>
      <c r="F623" s="95"/>
      <c r="G623" s="21"/>
    </row>
    <row r="624" spans="2:7" s="32" customFormat="1" x14ac:dyDescent="0.25">
      <c r="B624" s="39"/>
      <c r="D624" s="59"/>
      <c r="E624" s="68"/>
      <c r="F624" s="95"/>
      <c r="G624" s="21"/>
    </row>
    <row r="625" spans="2:7" s="32" customFormat="1" x14ac:dyDescent="0.25">
      <c r="B625" s="39"/>
      <c r="D625" s="59"/>
      <c r="E625" s="68"/>
      <c r="F625" s="95"/>
      <c r="G625" s="21"/>
    </row>
    <row r="626" spans="2:7" s="32" customFormat="1" x14ac:dyDescent="0.25">
      <c r="B626" s="39"/>
      <c r="D626" s="59"/>
      <c r="E626" s="68"/>
      <c r="F626" s="95"/>
      <c r="G626" s="21"/>
    </row>
    <row r="627" spans="2:7" s="32" customFormat="1" x14ac:dyDescent="0.25">
      <c r="B627" s="39"/>
      <c r="D627" s="59"/>
      <c r="E627" s="68"/>
      <c r="F627" s="95"/>
      <c r="G627" s="21"/>
    </row>
    <row r="628" spans="2:7" s="32" customFormat="1" x14ac:dyDescent="0.25">
      <c r="B628" s="39"/>
      <c r="D628" s="59"/>
      <c r="E628" s="68"/>
      <c r="F628" s="95"/>
      <c r="G628" s="21"/>
    </row>
    <row r="629" spans="2:7" s="32" customFormat="1" x14ac:dyDescent="0.25">
      <c r="B629" s="39"/>
      <c r="D629" s="59"/>
      <c r="E629" s="68"/>
      <c r="F629" s="95"/>
      <c r="G629" s="21"/>
    </row>
    <row r="630" spans="2:7" s="32" customFormat="1" x14ac:dyDescent="0.25">
      <c r="B630" s="39"/>
      <c r="D630" s="59"/>
      <c r="E630" s="68"/>
      <c r="F630" s="95"/>
      <c r="G630" s="21"/>
    </row>
    <row r="631" spans="2:7" s="32" customFormat="1" x14ac:dyDescent="0.25">
      <c r="B631" s="39"/>
      <c r="D631" s="59"/>
      <c r="E631" s="68"/>
      <c r="F631" s="95"/>
      <c r="G631" s="21"/>
    </row>
    <row r="632" spans="2:7" s="32" customFormat="1" x14ac:dyDescent="0.25">
      <c r="B632" s="39"/>
      <c r="D632" s="59"/>
      <c r="E632" s="68"/>
      <c r="F632" s="95"/>
      <c r="G632" s="21"/>
    </row>
    <row r="633" spans="2:7" s="32" customFormat="1" x14ac:dyDescent="0.25">
      <c r="B633" s="39"/>
      <c r="D633" s="59"/>
      <c r="E633" s="68"/>
      <c r="F633" s="95"/>
      <c r="G633" s="21"/>
    </row>
    <row r="634" spans="2:7" s="32" customFormat="1" x14ac:dyDescent="0.25">
      <c r="B634" s="39"/>
      <c r="D634" s="59"/>
      <c r="E634" s="68"/>
      <c r="F634" s="95"/>
      <c r="G634" s="21"/>
    </row>
    <row r="635" spans="2:7" s="32" customFormat="1" x14ac:dyDescent="0.25">
      <c r="B635" s="39"/>
      <c r="D635" s="59"/>
      <c r="E635" s="68"/>
      <c r="F635" s="95"/>
      <c r="G635" s="21"/>
    </row>
    <row r="636" spans="2:7" s="32" customFormat="1" x14ac:dyDescent="0.25">
      <c r="B636" s="39"/>
      <c r="D636" s="59"/>
      <c r="E636" s="68"/>
      <c r="F636" s="95"/>
      <c r="G636" s="21"/>
    </row>
    <row r="637" spans="2:7" s="32" customFormat="1" x14ac:dyDescent="0.25">
      <c r="B637" s="39"/>
      <c r="D637" s="59"/>
      <c r="E637" s="68"/>
      <c r="F637" s="95"/>
      <c r="G637" s="21"/>
    </row>
    <row r="638" spans="2:7" s="32" customFormat="1" x14ac:dyDescent="0.25">
      <c r="B638" s="39"/>
      <c r="D638" s="59"/>
      <c r="E638" s="68"/>
      <c r="F638" s="95"/>
      <c r="G638" s="21"/>
    </row>
    <row r="639" spans="2:7" s="32" customFormat="1" x14ac:dyDescent="0.25">
      <c r="B639" s="39"/>
      <c r="D639" s="59"/>
      <c r="E639" s="68"/>
      <c r="F639" s="95"/>
      <c r="G639" s="21"/>
    </row>
    <row r="640" spans="2:7" s="32" customFormat="1" x14ac:dyDescent="0.25">
      <c r="B640" s="39"/>
      <c r="D640" s="59"/>
      <c r="E640" s="68"/>
      <c r="F640" s="95"/>
      <c r="G640" s="21"/>
    </row>
    <row r="641" spans="2:7" s="32" customFormat="1" x14ac:dyDescent="0.25">
      <c r="B641" s="39"/>
      <c r="D641" s="59"/>
      <c r="E641" s="68"/>
      <c r="F641" s="95"/>
      <c r="G641" s="21"/>
    </row>
    <row r="642" spans="2:7" s="32" customFormat="1" x14ac:dyDescent="0.25">
      <c r="B642" s="39"/>
      <c r="D642" s="59"/>
      <c r="E642" s="68"/>
      <c r="F642" s="95"/>
      <c r="G642" s="21"/>
    </row>
    <row r="643" spans="2:7" s="32" customFormat="1" x14ac:dyDescent="0.25">
      <c r="B643" s="39"/>
      <c r="D643" s="59"/>
      <c r="E643" s="68"/>
      <c r="F643" s="95"/>
      <c r="G643" s="21"/>
    </row>
    <row r="644" spans="2:7" s="32" customFormat="1" x14ac:dyDescent="0.25">
      <c r="B644" s="39"/>
      <c r="D644" s="59"/>
      <c r="E644" s="68"/>
      <c r="F644" s="95"/>
      <c r="G644" s="21"/>
    </row>
    <row r="645" spans="2:7" s="32" customFormat="1" x14ac:dyDescent="0.25">
      <c r="B645" s="39"/>
      <c r="D645" s="59"/>
      <c r="E645" s="68"/>
      <c r="F645" s="95"/>
      <c r="G645" s="21"/>
    </row>
    <row r="646" spans="2:7" s="32" customFormat="1" x14ac:dyDescent="0.25">
      <c r="B646" s="39"/>
      <c r="D646" s="59"/>
      <c r="E646" s="68"/>
      <c r="F646" s="95"/>
      <c r="G646" s="21"/>
    </row>
    <row r="647" spans="2:7" s="32" customFormat="1" x14ac:dyDescent="0.25">
      <c r="B647" s="39"/>
      <c r="D647" s="59"/>
      <c r="E647" s="68"/>
      <c r="F647" s="95"/>
      <c r="G647" s="21"/>
    </row>
    <row r="648" spans="2:7" s="32" customFormat="1" x14ac:dyDescent="0.25">
      <c r="B648" s="39"/>
      <c r="D648" s="59"/>
      <c r="E648" s="68"/>
      <c r="F648" s="95"/>
      <c r="G648" s="21"/>
    </row>
    <row r="649" spans="2:7" s="32" customFormat="1" x14ac:dyDescent="0.25">
      <c r="B649" s="39"/>
      <c r="D649" s="59"/>
      <c r="E649" s="68"/>
      <c r="F649" s="95"/>
      <c r="G649" s="21"/>
    </row>
    <row r="650" spans="2:7" s="32" customFormat="1" x14ac:dyDescent="0.25">
      <c r="B650" s="39"/>
      <c r="D650" s="59"/>
      <c r="E650" s="68"/>
      <c r="F650" s="95"/>
      <c r="G650" s="21"/>
    </row>
    <row r="651" spans="2:7" s="32" customFormat="1" x14ac:dyDescent="0.25">
      <c r="B651" s="39"/>
      <c r="D651" s="59"/>
      <c r="E651" s="68"/>
      <c r="F651" s="95"/>
      <c r="G651" s="21"/>
    </row>
    <row r="652" spans="2:7" s="32" customFormat="1" x14ac:dyDescent="0.25">
      <c r="B652" s="39"/>
      <c r="D652" s="59"/>
      <c r="E652" s="68"/>
      <c r="F652" s="95"/>
      <c r="G652" s="21"/>
    </row>
    <row r="653" spans="2:7" s="32" customFormat="1" x14ac:dyDescent="0.25">
      <c r="B653" s="39"/>
      <c r="D653" s="59"/>
      <c r="E653" s="68"/>
      <c r="F653" s="95"/>
      <c r="G653" s="21"/>
    </row>
    <row r="654" spans="2:7" s="32" customFormat="1" x14ac:dyDescent="0.25">
      <c r="B654" s="39"/>
      <c r="D654" s="59"/>
      <c r="E654" s="68"/>
      <c r="F654" s="95"/>
      <c r="G654" s="21"/>
    </row>
    <row r="655" spans="2:7" s="32" customFormat="1" x14ac:dyDescent="0.25">
      <c r="B655" s="39"/>
      <c r="D655" s="59"/>
      <c r="E655" s="68"/>
      <c r="F655" s="95"/>
      <c r="G655" s="21"/>
    </row>
    <row r="656" spans="2:7" s="32" customFormat="1" x14ac:dyDescent="0.25">
      <c r="B656" s="39"/>
      <c r="D656" s="59"/>
      <c r="E656" s="68"/>
      <c r="F656" s="95"/>
      <c r="G656" s="21"/>
    </row>
    <row r="657" spans="2:7" s="32" customFormat="1" x14ac:dyDescent="0.25">
      <c r="B657" s="39"/>
      <c r="D657" s="59"/>
      <c r="E657" s="68"/>
      <c r="F657" s="95"/>
      <c r="G657" s="21"/>
    </row>
    <row r="658" spans="2:7" s="32" customFormat="1" x14ac:dyDescent="0.25">
      <c r="B658" s="39"/>
      <c r="D658" s="59"/>
      <c r="E658" s="68"/>
      <c r="F658" s="95"/>
      <c r="G658" s="21"/>
    </row>
    <row r="659" spans="2:7" s="32" customFormat="1" x14ac:dyDescent="0.25">
      <c r="B659" s="39"/>
      <c r="D659" s="59"/>
      <c r="E659" s="68"/>
      <c r="F659" s="95"/>
      <c r="G659" s="21"/>
    </row>
    <row r="660" spans="2:7" s="32" customFormat="1" x14ac:dyDescent="0.25">
      <c r="B660" s="39"/>
      <c r="D660" s="59"/>
      <c r="E660" s="68"/>
      <c r="F660" s="95"/>
      <c r="G660" s="21"/>
    </row>
    <row r="661" spans="2:7" s="32" customFormat="1" x14ac:dyDescent="0.25">
      <c r="B661" s="39"/>
      <c r="D661" s="59"/>
      <c r="E661" s="68"/>
      <c r="F661" s="95"/>
      <c r="G661" s="21"/>
    </row>
    <row r="662" spans="2:7" s="32" customFormat="1" x14ac:dyDescent="0.25">
      <c r="B662" s="39"/>
      <c r="D662" s="59"/>
      <c r="E662" s="68"/>
      <c r="F662" s="95"/>
      <c r="G662" s="21"/>
    </row>
    <row r="663" spans="2:7" s="32" customFormat="1" x14ac:dyDescent="0.25">
      <c r="B663" s="39"/>
      <c r="D663" s="59"/>
      <c r="E663" s="68"/>
      <c r="F663" s="95"/>
      <c r="G663" s="21"/>
    </row>
    <row r="664" spans="2:7" s="32" customFormat="1" x14ac:dyDescent="0.25">
      <c r="B664" s="39"/>
      <c r="D664" s="59"/>
      <c r="E664" s="68"/>
      <c r="F664" s="95"/>
      <c r="G664" s="21"/>
    </row>
    <row r="665" spans="2:7" s="32" customFormat="1" x14ac:dyDescent="0.25">
      <c r="B665" s="39"/>
      <c r="D665" s="59"/>
      <c r="E665" s="68"/>
      <c r="F665" s="95"/>
      <c r="G665" s="21"/>
    </row>
    <row r="666" spans="2:7" s="32" customFormat="1" x14ac:dyDescent="0.25">
      <c r="B666" s="39"/>
      <c r="D666" s="59"/>
      <c r="E666" s="68"/>
      <c r="F666" s="95"/>
      <c r="G666" s="21"/>
    </row>
    <row r="667" spans="2:7" s="32" customFormat="1" x14ac:dyDescent="0.25">
      <c r="B667" s="39"/>
      <c r="D667" s="59"/>
      <c r="E667" s="68"/>
      <c r="F667" s="95"/>
      <c r="G667" s="21"/>
    </row>
    <row r="668" spans="2:7" s="32" customFormat="1" x14ac:dyDescent="0.25">
      <c r="B668" s="39"/>
      <c r="D668" s="59"/>
      <c r="E668" s="68"/>
      <c r="F668" s="95"/>
      <c r="G668" s="21"/>
    </row>
    <row r="669" spans="2:7" s="32" customFormat="1" x14ac:dyDescent="0.25">
      <c r="B669" s="39"/>
      <c r="D669" s="59"/>
      <c r="E669" s="68"/>
      <c r="F669" s="95"/>
      <c r="G669" s="21"/>
    </row>
    <row r="670" spans="2:7" s="32" customFormat="1" x14ac:dyDescent="0.25">
      <c r="B670" s="39"/>
      <c r="D670" s="59"/>
      <c r="E670" s="68"/>
      <c r="F670" s="95"/>
      <c r="G670" s="21"/>
    </row>
    <row r="671" spans="2:7" s="32" customFormat="1" x14ac:dyDescent="0.25">
      <c r="B671" s="39"/>
      <c r="D671" s="59"/>
      <c r="E671" s="68"/>
      <c r="F671" s="95"/>
      <c r="G671" s="21"/>
    </row>
    <row r="672" spans="2:7" s="32" customFormat="1" x14ac:dyDescent="0.25">
      <c r="B672" s="39"/>
      <c r="D672" s="59"/>
      <c r="E672" s="68"/>
      <c r="F672" s="95"/>
      <c r="G672" s="21"/>
    </row>
    <row r="673" spans="2:7" s="32" customFormat="1" x14ac:dyDescent="0.25">
      <c r="B673" s="39"/>
      <c r="D673" s="59"/>
      <c r="E673" s="68"/>
      <c r="F673" s="95"/>
      <c r="G673" s="21"/>
    </row>
    <row r="674" spans="2:7" s="32" customFormat="1" x14ac:dyDescent="0.25">
      <c r="B674" s="39"/>
      <c r="D674" s="59"/>
      <c r="E674" s="68"/>
      <c r="F674" s="95"/>
      <c r="G674" s="21"/>
    </row>
    <row r="675" spans="2:7" s="32" customFormat="1" x14ac:dyDescent="0.25">
      <c r="B675" s="39"/>
      <c r="D675" s="59"/>
      <c r="E675" s="68"/>
      <c r="F675" s="95"/>
      <c r="G675" s="21"/>
    </row>
    <row r="676" spans="2:7" s="32" customFormat="1" x14ac:dyDescent="0.25">
      <c r="B676" s="39"/>
      <c r="D676" s="59"/>
      <c r="E676" s="68"/>
      <c r="F676" s="95"/>
      <c r="G676" s="21"/>
    </row>
    <row r="677" spans="2:7" s="32" customFormat="1" x14ac:dyDescent="0.25">
      <c r="B677" s="39"/>
      <c r="D677" s="59"/>
      <c r="E677" s="68"/>
      <c r="F677" s="95"/>
      <c r="G677" s="21"/>
    </row>
    <row r="678" spans="2:7" s="32" customFormat="1" x14ac:dyDescent="0.25">
      <c r="B678" s="39"/>
      <c r="D678" s="59"/>
      <c r="E678" s="68"/>
      <c r="F678" s="95"/>
      <c r="G678" s="21"/>
    </row>
    <row r="679" spans="2:7" s="32" customFormat="1" x14ac:dyDescent="0.25">
      <c r="B679" s="39"/>
      <c r="D679" s="59"/>
      <c r="E679" s="68"/>
      <c r="F679" s="95"/>
      <c r="G679" s="21"/>
    </row>
    <row r="680" spans="2:7" s="32" customFormat="1" x14ac:dyDescent="0.25">
      <c r="B680" s="39"/>
      <c r="D680" s="59"/>
      <c r="E680" s="68"/>
      <c r="F680" s="95"/>
      <c r="G680" s="21"/>
    </row>
    <row r="681" spans="2:7" s="32" customFormat="1" x14ac:dyDescent="0.25">
      <c r="B681" s="39"/>
      <c r="D681" s="59"/>
      <c r="E681" s="68"/>
      <c r="F681" s="95"/>
      <c r="G681" s="21"/>
    </row>
    <row r="682" spans="2:7" s="32" customFormat="1" x14ac:dyDescent="0.25">
      <c r="B682" s="39"/>
      <c r="D682" s="59"/>
      <c r="E682" s="68"/>
      <c r="F682" s="95"/>
      <c r="G682" s="21"/>
    </row>
    <row r="683" spans="2:7" s="32" customFormat="1" x14ac:dyDescent="0.25">
      <c r="B683" s="39"/>
      <c r="D683" s="59"/>
      <c r="E683" s="68"/>
      <c r="F683" s="95"/>
      <c r="G683" s="21"/>
    </row>
    <row r="684" spans="2:7" s="32" customFormat="1" x14ac:dyDescent="0.25">
      <c r="B684" s="39"/>
      <c r="D684" s="59"/>
      <c r="E684" s="68"/>
      <c r="F684" s="95"/>
      <c r="G684" s="21"/>
    </row>
    <row r="685" spans="2:7" s="32" customFormat="1" x14ac:dyDescent="0.25">
      <c r="B685" s="39"/>
      <c r="D685" s="59"/>
      <c r="E685" s="68"/>
      <c r="F685" s="95"/>
      <c r="G685" s="21"/>
    </row>
    <row r="686" spans="2:7" s="32" customFormat="1" x14ac:dyDescent="0.25">
      <c r="B686" s="39"/>
      <c r="D686" s="59"/>
      <c r="E686" s="68"/>
      <c r="F686" s="95"/>
      <c r="G686" s="21"/>
    </row>
    <row r="687" spans="2:7" s="32" customFormat="1" x14ac:dyDescent="0.25">
      <c r="B687" s="39"/>
      <c r="D687" s="59"/>
      <c r="E687" s="68"/>
      <c r="F687" s="95"/>
      <c r="G687" s="21"/>
    </row>
    <row r="688" spans="2:7" s="32" customFormat="1" x14ac:dyDescent="0.25">
      <c r="B688" s="39"/>
      <c r="D688" s="59"/>
      <c r="E688" s="68"/>
      <c r="F688" s="95"/>
      <c r="G688" s="21"/>
    </row>
    <row r="689" spans="2:7" s="32" customFormat="1" x14ac:dyDescent="0.25">
      <c r="B689" s="39"/>
      <c r="D689" s="59"/>
      <c r="E689" s="68"/>
      <c r="F689" s="95"/>
      <c r="G689" s="21"/>
    </row>
    <row r="690" spans="2:7" s="32" customFormat="1" x14ac:dyDescent="0.25">
      <c r="B690" s="39"/>
      <c r="D690" s="59"/>
      <c r="E690" s="68"/>
      <c r="F690" s="95"/>
      <c r="G690" s="21"/>
    </row>
    <row r="691" spans="2:7" s="32" customFormat="1" x14ac:dyDescent="0.25">
      <c r="B691" s="39"/>
      <c r="D691" s="59"/>
      <c r="E691" s="68"/>
      <c r="F691" s="95"/>
      <c r="G691" s="21"/>
    </row>
    <row r="692" spans="2:7" s="32" customFormat="1" x14ac:dyDescent="0.25">
      <c r="B692" s="39"/>
      <c r="D692" s="59"/>
      <c r="E692" s="68"/>
      <c r="F692" s="95"/>
      <c r="G692" s="21"/>
    </row>
    <row r="693" spans="2:7" s="32" customFormat="1" x14ac:dyDescent="0.25">
      <c r="B693" s="39"/>
      <c r="D693" s="59"/>
      <c r="E693" s="68"/>
      <c r="F693" s="95"/>
      <c r="G693" s="21"/>
    </row>
    <row r="694" spans="2:7" s="32" customFormat="1" x14ac:dyDescent="0.25">
      <c r="B694" s="39"/>
      <c r="D694" s="59"/>
      <c r="E694" s="68"/>
      <c r="F694" s="95"/>
      <c r="G694" s="21"/>
    </row>
    <row r="695" spans="2:7" s="32" customFormat="1" x14ac:dyDescent="0.25">
      <c r="B695" s="39"/>
      <c r="D695" s="59"/>
      <c r="E695" s="68"/>
      <c r="F695" s="95"/>
      <c r="G695" s="21"/>
    </row>
    <row r="696" spans="2:7" s="32" customFormat="1" x14ac:dyDescent="0.25">
      <c r="B696" s="39"/>
      <c r="D696" s="59"/>
      <c r="E696" s="68"/>
      <c r="F696" s="95"/>
      <c r="G696" s="21"/>
    </row>
    <row r="697" spans="2:7" s="32" customFormat="1" x14ac:dyDescent="0.25">
      <c r="B697" s="39"/>
      <c r="D697" s="59"/>
      <c r="E697" s="68"/>
      <c r="F697" s="95"/>
      <c r="G697" s="21"/>
    </row>
    <row r="698" spans="2:7" s="32" customFormat="1" x14ac:dyDescent="0.25">
      <c r="B698" s="39"/>
      <c r="D698" s="59"/>
      <c r="E698" s="68"/>
      <c r="F698" s="95"/>
      <c r="G698" s="21"/>
    </row>
    <row r="699" spans="2:7" s="32" customFormat="1" x14ac:dyDescent="0.25">
      <c r="B699" s="39"/>
      <c r="D699" s="59"/>
      <c r="E699" s="68"/>
      <c r="F699" s="95"/>
      <c r="G699" s="21"/>
    </row>
    <row r="700" spans="2:7" s="32" customFormat="1" x14ac:dyDescent="0.25">
      <c r="B700" s="39"/>
      <c r="D700" s="59"/>
      <c r="E700" s="68"/>
      <c r="F700" s="95"/>
      <c r="G700" s="21"/>
    </row>
    <row r="701" spans="2:7" s="32" customFormat="1" x14ac:dyDescent="0.25">
      <c r="B701" s="39"/>
      <c r="D701" s="59"/>
      <c r="E701" s="68"/>
      <c r="F701" s="95"/>
      <c r="G701" s="21"/>
    </row>
    <row r="702" spans="2:7" s="32" customFormat="1" x14ac:dyDescent="0.25">
      <c r="B702" s="39"/>
      <c r="D702" s="59"/>
      <c r="E702" s="68"/>
      <c r="F702" s="95"/>
      <c r="G702" s="21"/>
    </row>
    <row r="703" spans="2:7" s="32" customFormat="1" x14ac:dyDescent="0.25">
      <c r="B703" s="39"/>
      <c r="D703" s="59"/>
      <c r="E703" s="68"/>
      <c r="F703" s="95"/>
      <c r="G703" s="21"/>
    </row>
    <row r="704" spans="2:7" s="32" customFormat="1" x14ac:dyDescent="0.25">
      <c r="B704" s="39"/>
      <c r="D704" s="59"/>
      <c r="E704" s="68"/>
      <c r="F704" s="95"/>
      <c r="G704" s="21"/>
    </row>
    <row r="705" spans="2:7" s="32" customFormat="1" x14ac:dyDescent="0.25">
      <c r="B705" s="39"/>
      <c r="D705" s="59"/>
      <c r="E705" s="68"/>
      <c r="F705" s="95"/>
      <c r="G705" s="21"/>
    </row>
    <row r="706" spans="2:7" s="32" customFormat="1" x14ac:dyDescent="0.25">
      <c r="B706" s="39"/>
      <c r="D706" s="59"/>
      <c r="E706" s="68"/>
      <c r="F706" s="95"/>
      <c r="G706" s="21"/>
    </row>
    <row r="707" spans="2:7" s="32" customFormat="1" x14ac:dyDescent="0.25">
      <c r="B707" s="39"/>
      <c r="D707" s="59"/>
      <c r="E707" s="68"/>
      <c r="F707" s="95"/>
      <c r="G707" s="21"/>
    </row>
    <row r="708" spans="2:7" s="32" customFormat="1" x14ac:dyDescent="0.25">
      <c r="B708" s="39"/>
      <c r="D708" s="59"/>
      <c r="E708" s="68"/>
      <c r="F708" s="95"/>
      <c r="G708" s="21"/>
    </row>
    <row r="709" spans="2:7" s="32" customFormat="1" x14ac:dyDescent="0.25">
      <c r="B709" s="39"/>
      <c r="D709" s="59"/>
      <c r="E709" s="68"/>
      <c r="F709" s="95"/>
      <c r="G709" s="21"/>
    </row>
    <row r="710" spans="2:7" s="32" customFormat="1" x14ac:dyDescent="0.25">
      <c r="B710" s="39"/>
      <c r="D710" s="59"/>
      <c r="E710" s="68"/>
      <c r="F710" s="95"/>
      <c r="G710" s="21"/>
    </row>
    <row r="711" spans="2:7" s="32" customFormat="1" x14ac:dyDescent="0.25">
      <c r="B711" s="39"/>
      <c r="D711" s="59"/>
      <c r="E711" s="68"/>
      <c r="F711" s="95"/>
      <c r="G711" s="21"/>
    </row>
    <row r="712" spans="2:7" s="32" customFormat="1" x14ac:dyDescent="0.25">
      <c r="B712" s="39"/>
      <c r="D712" s="59"/>
      <c r="E712" s="68"/>
      <c r="F712" s="95"/>
      <c r="G712" s="21"/>
    </row>
    <row r="713" spans="2:7" s="32" customFormat="1" x14ac:dyDescent="0.25">
      <c r="B713" s="39"/>
      <c r="D713" s="59"/>
      <c r="E713" s="68"/>
      <c r="F713" s="95"/>
      <c r="G713" s="21"/>
    </row>
    <row r="714" spans="2:7" s="32" customFormat="1" x14ac:dyDescent="0.25">
      <c r="B714" s="39"/>
      <c r="D714" s="59"/>
      <c r="E714" s="68"/>
      <c r="F714" s="95"/>
      <c r="G714" s="21"/>
    </row>
    <row r="715" spans="2:7" s="32" customFormat="1" x14ac:dyDescent="0.25">
      <c r="B715" s="39"/>
      <c r="D715" s="59"/>
      <c r="E715" s="68"/>
      <c r="F715" s="95"/>
      <c r="G715" s="21"/>
    </row>
    <row r="716" spans="2:7" s="32" customFormat="1" x14ac:dyDescent="0.25">
      <c r="B716" s="39"/>
      <c r="D716" s="59"/>
      <c r="E716" s="68"/>
      <c r="F716" s="95"/>
      <c r="G716" s="21"/>
    </row>
    <row r="717" spans="2:7" s="32" customFormat="1" x14ac:dyDescent="0.25">
      <c r="B717" s="39"/>
      <c r="D717" s="59"/>
      <c r="E717" s="68"/>
      <c r="F717" s="95"/>
      <c r="G717" s="21"/>
    </row>
    <row r="718" spans="2:7" s="32" customFormat="1" x14ac:dyDescent="0.25">
      <c r="B718" s="39"/>
      <c r="D718" s="59"/>
      <c r="E718" s="68"/>
      <c r="F718" s="95"/>
      <c r="G718" s="21"/>
    </row>
    <row r="719" spans="2:7" s="32" customFormat="1" x14ac:dyDescent="0.25">
      <c r="B719" s="39"/>
      <c r="D719" s="59"/>
      <c r="E719" s="68"/>
      <c r="F719" s="95"/>
      <c r="G719" s="21"/>
    </row>
    <row r="720" spans="2:7" s="32" customFormat="1" x14ac:dyDescent="0.25">
      <c r="B720" s="39"/>
      <c r="D720" s="59"/>
      <c r="E720" s="68"/>
      <c r="F720" s="95"/>
      <c r="G720" s="21"/>
    </row>
    <row r="721" spans="2:7" s="32" customFormat="1" x14ac:dyDescent="0.25">
      <c r="B721" s="39"/>
      <c r="D721" s="59"/>
      <c r="E721" s="68"/>
      <c r="F721" s="95"/>
      <c r="G721" s="21"/>
    </row>
    <row r="722" spans="2:7" s="32" customFormat="1" x14ac:dyDescent="0.25">
      <c r="B722" s="39"/>
      <c r="D722" s="59"/>
      <c r="E722" s="68"/>
      <c r="F722" s="95"/>
      <c r="G722" s="21"/>
    </row>
    <row r="723" spans="2:7" s="32" customFormat="1" x14ac:dyDescent="0.25">
      <c r="B723" s="39"/>
      <c r="D723" s="59"/>
      <c r="E723" s="68"/>
      <c r="F723" s="95"/>
      <c r="G723" s="21"/>
    </row>
    <row r="724" spans="2:7" s="32" customFormat="1" x14ac:dyDescent="0.25">
      <c r="B724" s="39"/>
      <c r="D724" s="59"/>
      <c r="E724" s="68"/>
      <c r="F724" s="95"/>
      <c r="G724" s="21"/>
    </row>
    <row r="725" spans="2:7" s="32" customFormat="1" x14ac:dyDescent="0.25">
      <c r="B725" s="39"/>
      <c r="D725" s="59"/>
      <c r="E725" s="68"/>
      <c r="F725" s="95"/>
      <c r="G725" s="21"/>
    </row>
    <row r="726" spans="2:7" s="32" customFormat="1" x14ac:dyDescent="0.25">
      <c r="B726" s="39"/>
      <c r="D726" s="59"/>
      <c r="E726" s="68"/>
      <c r="F726" s="95"/>
      <c r="G726" s="21"/>
    </row>
    <row r="727" spans="2:7" s="32" customFormat="1" x14ac:dyDescent="0.25">
      <c r="B727" s="39"/>
      <c r="D727" s="59"/>
      <c r="E727" s="68"/>
      <c r="F727" s="95"/>
      <c r="G727" s="21"/>
    </row>
    <row r="728" spans="2:7" s="32" customFormat="1" x14ac:dyDescent="0.25">
      <c r="B728" s="39"/>
      <c r="D728" s="59"/>
      <c r="E728" s="68"/>
      <c r="F728" s="95"/>
      <c r="G728" s="21"/>
    </row>
    <row r="729" spans="2:7" s="32" customFormat="1" x14ac:dyDescent="0.25">
      <c r="B729" s="39"/>
      <c r="D729" s="59"/>
      <c r="E729" s="68"/>
      <c r="F729" s="95"/>
      <c r="G729" s="21"/>
    </row>
    <row r="730" spans="2:7" s="32" customFormat="1" x14ac:dyDescent="0.25">
      <c r="B730" s="39"/>
      <c r="D730" s="59"/>
      <c r="E730" s="68"/>
      <c r="F730" s="95"/>
      <c r="G730" s="21"/>
    </row>
    <row r="731" spans="2:7" s="32" customFormat="1" x14ac:dyDescent="0.25">
      <c r="B731" s="39"/>
      <c r="D731" s="59"/>
      <c r="E731" s="68"/>
      <c r="F731" s="95"/>
      <c r="G731" s="21"/>
    </row>
    <row r="732" spans="2:7" s="32" customFormat="1" x14ac:dyDescent="0.25">
      <c r="B732" s="39"/>
      <c r="D732" s="59"/>
      <c r="E732" s="68"/>
      <c r="F732" s="95"/>
      <c r="G732" s="21"/>
    </row>
    <row r="733" spans="2:7" s="32" customFormat="1" x14ac:dyDescent="0.25">
      <c r="B733" s="39"/>
      <c r="D733" s="59"/>
      <c r="E733" s="68"/>
      <c r="F733" s="95"/>
      <c r="G733" s="21"/>
    </row>
    <row r="734" spans="2:7" s="32" customFormat="1" x14ac:dyDescent="0.25">
      <c r="B734" s="39"/>
      <c r="D734" s="59"/>
      <c r="E734" s="68"/>
      <c r="F734" s="95"/>
      <c r="G734" s="21"/>
    </row>
    <row r="735" spans="2:7" s="32" customFormat="1" x14ac:dyDescent="0.25">
      <c r="B735" s="39"/>
      <c r="D735" s="59"/>
      <c r="E735" s="68"/>
      <c r="F735" s="95"/>
      <c r="G735" s="21"/>
    </row>
    <row r="736" spans="2:7" s="32" customFormat="1" x14ac:dyDescent="0.25">
      <c r="B736" s="39"/>
      <c r="D736" s="59"/>
      <c r="E736" s="68"/>
      <c r="F736" s="95"/>
      <c r="G736" s="21"/>
    </row>
    <row r="737" spans="2:7" s="32" customFormat="1" x14ac:dyDescent="0.25">
      <c r="B737" s="39"/>
      <c r="D737" s="59"/>
      <c r="E737" s="68"/>
      <c r="F737" s="95"/>
      <c r="G737" s="21"/>
    </row>
    <row r="738" spans="2:7" s="32" customFormat="1" x14ac:dyDescent="0.25">
      <c r="B738" s="39"/>
      <c r="D738" s="59"/>
      <c r="E738" s="68"/>
      <c r="F738" s="95"/>
      <c r="G738" s="21"/>
    </row>
    <row r="739" spans="2:7" s="32" customFormat="1" x14ac:dyDescent="0.25">
      <c r="B739" s="39"/>
      <c r="D739" s="59"/>
      <c r="E739" s="68"/>
      <c r="F739" s="95"/>
      <c r="G739" s="21"/>
    </row>
    <row r="740" spans="2:7" s="32" customFormat="1" x14ac:dyDescent="0.25">
      <c r="B740" s="39"/>
      <c r="D740" s="59"/>
      <c r="E740" s="68"/>
      <c r="F740" s="95"/>
      <c r="G740" s="21"/>
    </row>
    <row r="741" spans="2:7" s="32" customFormat="1" x14ac:dyDescent="0.25">
      <c r="B741" s="39"/>
      <c r="D741" s="59"/>
      <c r="E741" s="68"/>
      <c r="F741" s="95"/>
      <c r="G741" s="21"/>
    </row>
    <row r="742" spans="2:7" s="32" customFormat="1" x14ac:dyDescent="0.25">
      <c r="B742" s="39"/>
      <c r="D742" s="59"/>
      <c r="E742" s="68"/>
      <c r="F742" s="95"/>
      <c r="G742" s="21"/>
    </row>
    <row r="743" spans="2:7" s="32" customFormat="1" x14ac:dyDescent="0.25">
      <c r="B743" s="39"/>
      <c r="D743" s="59"/>
      <c r="E743" s="68"/>
      <c r="F743" s="95"/>
      <c r="G743" s="21"/>
    </row>
    <row r="744" spans="2:7" s="32" customFormat="1" x14ac:dyDescent="0.25">
      <c r="B744" s="39"/>
      <c r="D744" s="59"/>
      <c r="E744" s="68"/>
      <c r="F744" s="95"/>
      <c r="G744" s="21"/>
    </row>
    <row r="745" spans="2:7" s="32" customFormat="1" x14ac:dyDescent="0.25">
      <c r="B745" s="39"/>
      <c r="D745" s="59"/>
      <c r="E745" s="68"/>
      <c r="F745" s="95"/>
      <c r="G745" s="21"/>
    </row>
    <row r="746" spans="2:7" s="32" customFormat="1" x14ac:dyDescent="0.25">
      <c r="B746" s="39"/>
      <c r="D746" s="59"/>
      <c r="E746" s="68"/>
      <c r="F746" s="95"/>
      <c r="G746" s="21"/>
    </row>
    <row r="747" spans="2:7" s="32" customFormat="1" x14ac:dyDescent="0.25">
      <c r="B747" s="39"/>
      <c r="D747" s="59"/>
      <c r="E747" s="68"/>
      <c r="F747" s="95"/>
      <c r="G747" s="21"/>
    </row>
    <row r="748" spans="2:7" s="32" customFormat="1" x14ac:dyDescent="0.25">
      <c r="B748" s="39"/>
      <c r="D748" s="59"/>
      <c r="E748" s="68"/>
      <c r="F748" s="95"/>
      <c r="G748" s="21"/>
    </row>
    <row r="749" spans="2:7" s="32" customFormat="1" x14ac:dyDescent="0.25">
      <c r="B749" s="39"/>
      <c r="D749" s="59"/>
      <c r="E749" s="68"/>
      <c r="F749" s="95"/>
      <c r="G749" s="21"/>
    </row>
    <row r="750" spans="2:7" s="32" customFormat="1" x14ac:dyDescent="0.25">
      <c r="B750" s="39"/>
      <c r="D750" s="59"/>
      <c r="E750" s="68"/>
      <c r="F750" s="95"/>
      <c r="G750" s="21"/>
    </row>
    <row r="751" spans="2:7" s="32" customFormat="1" x14ac:dyDescent="0.25">
      <c r="B751" s="39"/>
      <c r="D751" s="59"/>
      <c r="E751" s="68"/>
      <c r="F751" s="95"/>
      <c r="G751" s="21"/>
    </row>
    <row r="752" spans="2:7" s="32" customFormat="1" x14ac:dyDescent="0.25">
      <c r="B752" s="39"/>
      <c r="D752" s="59"/>
      <c r="E752" s="68"/>
      <c r="F752" s="95"/>
      <c r="G752" s="21"/>
    </row>
    <row r="753" spans="2:7" s="32" customFormat="1" x14ac:dyDescent="0.25">
      <c r="B753" s="39"/>
      <c r="D753" s="59"/>
      <c r="E753" s="68"/>
      <c r="F753" s="95"/>
      <c r="G753" s="21"/>
    </row>
    <row r="754" spans="2:7" s="32" customFormat="1" x14ac:dyDescent="0.25">
      <c r="B754" s="39"/>
      <c r="D754" s="59"/>
      <c r="E754" s="68"/>
      <c r="F754" s="95"/>
      <c r="G754" s="21"/>
    </row>
    <row r="755" spans="2:7" s="32" customFormat="1" x14ac:dyDescent="0.25">
      <c r="B755" s="39"/>
      <c r="D755" s="59"/>
      <c r="E755" s="68"/>
      <c r="F755" s="95"/>
      <c r="G755" s="21"/>
    </row>
    <row r="756" spans="2:7" s="32" customFormat="1" x14ac:dyDescent="0.25">
      <c r="B756" s="39"/>
      <c r="D756" s="59"/>
      <c r="E756" s="68"/>
      <c r="F756" s="95"/>
      <c r="G756" s="21"/>
    </row>
    <row r="757" spans="2:7" s="32" customFormat="1" x14ac:dyDescent="0.25">
      <c r="B757" s="39"/>
      <c r="D757" s="59"/>
      <c r="E757" s="68"/>
      <c r="F757" s="95"/>
      <c r="G757" s="21"/>
    </row>
    <row r="758" spans="2:7" s="32" customFormat="1" x14ac:dyDescent="0.25">
      <c r="B758" s="39"/>
      <c r="D758" s="59"/>
      <c r="E758" s="68"/>
      <c r="F758" s="95"/>
      <c r="G758" s="21"/>
    </row>
    <row r="759" spans="2:7" s="32" customFormat="1" x14ac:dyDescent="0.25">
      <c r="B759" s="39"/>
      <c r="D759" s="59"/>
      <c r="E759" s="68"/>
      <c r="F759" s="95"/>
      <c r="G759" s="21"/>
    </row>
    <row r="760" spans="2:7" s="32" customFormat="1" x14ac:dyDescent="0.25">
      <c r="B760" s="39"/>
      <c r="D760" s="59"/>
      <c r="E760" s="68"/>
      <c r="F760" s="95"/>
      <c r="G760" s="21"/>
    </row>
    <row r="761" spans="2:7" s="32" customFormat="1" x14ac:dyDescent="0.25">
      <c r="B761" s="39"/>
      <c r="D761" s="59"/>
      <c r="E761" s="68"/>
      <c r="F761" s="95"/>
      <c r="G761" s="21"/>
    </row>
    <row r="762" spans="2:7" s="32" customFormat="1" x14ac:dyDescent="0.25">
      <c r="B762" s="39"/>
      <c r="D762" s="59"/>
      <c r="E762" s="68"/>
      <c r="F762" s="95"/>
      <c r="G762" s="21"/>
    </row>
    <row r="763" spans="2:7" s="32" customFormat="1" x14ac:dyDescent="0.25">
      <c r="B763" s="39"/>
      <c r="D763" s="59"/>
      <c r="E763" s="68"/>
      <c r="F763" s="95"/>
      <c r="G763" s="21"/>
    </row>
    <row r="764" spans="2:7" s="32" customFormat="1" x14ac:dyDescent="0.25">
      <c r="B764" s="39"/>
      <c r="D764" s="59"/>
      <c r="E764" s="68"/>
      <c r="F764" s="95"/>
      <c r="G764" s="21"/>
    </row>
    <row r="765" spans="2:7" s="32" customFormat="1" x14ac:dyDescent="0.25">
      <c r="B765" s="39"/>
      <c r="D765" s="59"/>
      <c r="E765" s="68"/>
      <c r="F765" s="95"/>
      <c r="G765" s="21"/>
    </row>
    <row r="766" spans="2:7" s="32" customFormat="1" x14ac:dyDescent="0.25">
      <c r="B766" s="39"/>
      <c r="D766" s="59"/>
      <c r="E766" s="68"/>
      <c r="F766" s="95"/>
      <c r="G766" s="21"/>
    </row>
    <row r="767" spans="2:7" s="32" customFormat="1" x14ac:dyDescent="0.25">
      <c r="B767" s="39"/>
      <c r="D767" s="59"/>
      <c r="E767" s="68"/>
      <c r="F767" s="95"/>
      <c r="G767" s="21"/>
    </row>
    <row r="768" spans="2:7" s="32" customFormat="1" x14ac:dyDescent="0.25">
      <c r="B768" s="39"/>
      <c r="D768" s="59"/>
      <c r="E768" s="68"/>
      <c r="F768" s="95"/>
      <c r="G768" s="21"/>
    </row>
    <row r="769" spans="2:7" s="32" customFormat="1" x14ac:dyDescent="0.25">
      <c r="B769" s="39"/>
      <c r="D769" s="59"/>
      <c r="E769" s="68"/>
      <c r="F769" s="95"/>
      <c r="G769" s="21"/>
    </row>
    <row r="770" spans="2:7" s="32" customFormat="1" x14ac:dyDescent="0.25">
      <c r="B770" s="39"/>
      <c r="D770" s="59"/>
      <c r="E770" s="68"/>
      <c r="F770" s="95"/>
      <c r="G770" s="21"/>
    </row>
    <row r="771" spans="2:7" s="32" customFormat="1" x14ac:dyDescent="0.25">
      <c r="B771" s="39"/>
      <c r="D771" s="59"/>
      <c r="E771" s="68"/>
      <c r="F771" s="95"/>
      <c r="G771" s="21"/>
    </row>
    <row r="772" spans="2:7" s="32" customFormat="1" x14ac:dyDescent="0.25">
      <c r="B772" s="39"/>
      <c r="D772" s="59"/>
      <c r="E772" s="68"/>
      <c r="F772" s="95"/>
      <c r="G772" s="21"/>
    </row>
    <row r="773" spans="2:7" s="32" customFormat="1" x14ac:dyDescent="0.25">
      <c r="B773" s="39"/>
      <c r="D773" s="59"/>
      <c r="E773" s="68"/>
      <c r="F773" s="95"/>
      <c r="G773" s="21"/>
    </row>
    <row r="774" spans="2:7" s="32" customFormat="1" x14ac:dyDescent="0.25">
      <c r="B774" s="39"/>
      <c r="D774" s="59"/>
      <c r="E774" s="68"/>
      <c r="F774" s="95"/>
      <c r="G774" s="21"/>
    </row>
    <row r="775" spans="2:7" s="32" customFormat="1" x14ac:dyDescent="0.25">
      <c r="B775" s="39"/>
      <c r="D775" s="59"/>
      <c r="E775" s="68"/>
      <c r="F775" s="95"/>
      <c r="G775" s="21"/>
    </row>
    <row r="776" spans="2:7" s="32" customFormat="1" x14ac:dyDescent="0.25">
      <c r="B776" s="39"/>
      <c r="D776" s="59"/>
      <c r="E776" s="68"/>
      <c r="F776" s="95"/>
      <c r="G776" s="21"/>
    </row>
    <row r="777" spans="2:7" s="32" customFormat="1" x14ac:dyDescent="0.25">
      <c r="B777" s="39"/>
      <c r="D777" s="59"/>
      <c r="E777" s="68"/>
      <c r="F777" s="95"/>
      <c r="G777" s="21"/>
    </row>
    <row r="778" spans="2:7" s="32" customFormat="1" x14ac:dyDescent="0.25">
      <c r="B778" s="39"/>
      <c r="D778" s="59"/>
      <c r="E778" s="68"/>
      <c r="F778" s="95"/>
      <c r="G778" s="21"/>
    </row>
    <row r="779" spans="2:7" s="32" customFormat="1" x14ac:dyDescent="0.25">
      <c r="B779" s="39"/>
      <c r="D779" s="59"/>
      <c r="E779" s="68"/>
      <c r="F779" s="95"/>
      <c r="G779" s="21"/>
    </row>
    <row r="780" spans="2:7" s="32" customFormat="1" x14ac:dyDescent="0.25">
      <c r="B780" s="39"/>
      <c r="D780" s="59"/>
      <c r="E780" s="68"/>
      <c r="F780" s="95"/>
      <c r="G780" s="21"/>
    </row>
    <row r="781" spans="2:7" s="32" customFormat="1" x14ac:dyDescent="0.25">
      <c r="B781" s="39"/>
      <c r="D781" s="59"/>
      <c r="E781" s="68"/>
      <c r="F781" s="95"/>
      <c r="G781" s="21"/>
    </row>
    <row r="782" spans="2:7" s="32" customFormat="1" x14ac:dyDescent="0.25">
      <c r="B782" s="39"/>
      <c r="D782" s="59"/>
      <c r="E782" s="68"/>
      <c r="F782" s="95"/>
      <c r="G782" s="21"/>
    </row>
    <row r="783" spans="2:7" s="32" customFormat="1" x14ac:dyDescent="0.25">
      <c r="B783" s="39"/>
      <c r="D783" s="59"/>
      <c r="E783" s="68"/>
      <c r="F783" s="95"/>
      <c r="G783" s="21"/>
    </row>
    <row r="784" spans="2:7" s="32" customFormat="1" x14ac:dyDescent="0.25">
      <c r="B784" s="39"/>
      <c r="D784" s="59"/>
      <c r="E784" s="68"/>
      <c r="F784" s="95"/>
      <c r="G784" s="21"/>
    </row>
    <row r="785" spans="2:7" s="32" customFormat="1" x14ac:dyDescent="0.25">
      <c r="B785" s="39"/>
      <c r="D785" s="59"/>
      <c r="E785" s="68"/>
      <c r="F785" s="95"/>
      <c r="G785" s="21"/>
    </row>
    <row r="786" spans="2:7" s="32" customFormat="1" x14ac:dyDescent="0.25">
      <c r="B786" s="39"/>
      <c r="D786" s="59"/>
      <c r="E786" s="68"/>
      <c r="F786" s="95"/>
      <c r="G786" s="21"/>
    </row>
    <row r="787" spans="2:7" s="32" customFormat="1" x14ac:dyDescent="0.25">
      <c r="B787" s="39"/>
      <c r="D787" s="59"/>
      <c r="E787" s="68"/>
      <c r="F787" s="95"/>
      <c r="G787" s="21"/>
    </row>
    <row r="788" spans="2:7" s="32" customFormat="1" x14ac:dyDescent="0.25">
      <c r="B788" s="39"/>
      <c r="D788" s="59"/>
      <c r="E788" s="68"/>
      <c r="F788" s="95"/>
      <c r="G788" s="21"/>
    </row>
    <row r="789" spans="2:7" s="32" customFormat="1" x14ac:dyDescent="0.25">
      <c r="B789" s="39"/>
      <c r="D789" s="59"/>
      <c r="E789" s="68"/>
      <c r="F789" s="95"/>
      <c r="G789" s="21"/>
    </row>
    <row r="790" spans="2:7" s="32" customFormat="1" x14ac:dyDescent="0.25">
      <c r="B790" s="39"/>
      <c r="D790" s="59"/>
      <c r="E790" s="68"/>
      <c r="F790" s="95"/>
      <c r="G790" s="21"/>
    </row>
    <row r="791" spans="2:7" s="32" customFormat="1" x14ac:dyDescent="0.25">
      <c r="B791" s="39"/>
      <c r="D791" s="59"/>
      <c r="E791" s="68"/>
      <c r="F791" s="95"/>
      <c r="G791" s="21"/>
    </row>
    <row r="792" spans="2:7" s="32" customFormat="1" x14ac:dyDescent="0.25">
      <c r="B792" s="39"/>
      <c r="D792" s="59"/>
      <c r="E792" s="68"/>
      <c r="F792" s="95"/>
      <c r="G792" s="21"/>
    </row>
    <row r="793" spans="2:7" s="32" customFormat="1" x14ac:dyDescent="0.25">
      <c r="B793" s="39"/>
      <c r="D793" s="59"/>
      <c r="E793" s="68"/>
      <c r="F793" s="95"/>
      <c r="G793" s="21"/>
    </row>
    <row r="794" spans="2:7" s="32" customFormat="1" x14ac:dyDescent="0.25">
      <c r="B794" s="39"/>
      <c r="D794" s="59"/>
      <c r="E794" s="68"/>
      <c r="F794" s="95"/>
      <c r="G794" s="21"/>
    </row>
    <row r="795" spans="2:7" s="32" customFormat="1" x14ac:dyDescent="0.25">
      <c r="B795" s="39"/>
      <c r="D795" s="59"/>
      <c r="E795" s="68"/>
      <c r="F795" s="95"/>
      <c r="G795" s="21"/>
    </row>
    <row r="796" spans="2:7" s="32" customFormat="1" x14ac:dyDescent="0.25">
      <c r="B796" s="39"/>
      <c r="D796" s="59"/>
      <c r="E796" s="68"/>
      <c r="F796" s="95"/>
      <c r="G796" s="21"/>
    </row>
    <row r="797" spans="2:7" s="32" customFormat="1" x14ac:dyDescent="0.25">
      <c r="B797" s="39"/>
      <c r="D797" s="59"/>
      <c r="E797" s="68"/>
      <c r="F797" s="95"/>
      <c r="G797" s="21"/>
    </row>
    <row r="798" spans="2:7" s="32" customFormat="1" x14ac:dyDescent="0.25">
      <c r="B798" s="39"/>
      <c r="D798" s="59"/>
      <c r="E798" s="68"/>
      <c r="F798" s="95"/>
      <c r="G798" s="21"/>
    </row>
    <row r="799" spans="2:7" s="32" customFormat="1" x14ac:dyDescent="0.25">
      <c r="B799" s="39"/>
      <c r="D799" s="59"/>
      <c r="E799" s="68"/>
      <c r="F799" s="95"/>
      <c r="G799" s="21"/>
    </row>
    <row r="800" spans="2:7" s="32" customFormat="1" x14ac:dyDescent="0.25">
      <c r="B800" s="39"/>
      <c r="D800" s="59"/>
      <c r="E800" s="68"/>
      <c r="F800" s="95"/>
      <c r="G800" s="21"/>
    </row>
    <row r="801" spans="2:7" s="32" customFormat="1" x14ac:dyDescent="0.25">
      <c r="B801" s="39"/>
      <c r="D801" s="59"/>
      <c r="E801" s="68"/>
      <c r="F801" s="95"/>
      <c r="G801" s="21"/>
    </row>
    <row r="802" spans="2:7" s="32" customFormat="1" x14ac:dyDescent="0.25">
      <c r="B802" s="39"/>
      <c r="D802" s="59"/>
      <c r="E802" s="68"/>
      <c r="F802" s="95"/>
      <c r="G802" s="21"/>
    </row>
    <row r="803" spans="2:7" s="32" customFormat="1" x14ac:dyDescent="0.25">
      <c r="B803" s="39"/>
      <c r="D803" s="59"/>
      <c r="E803" s="68"/>
      <c r="F803" s="95"/>
      <c r="G803" s="21"/>
    </row>
    <row r="804" spans="2:7" s="32" customFormat="1" x14ac:dyDescent="0.25">
      <c r="B804" s="39"/>
      <c r="D804" s="59"/>
      <c r="E804" s="68"/>
      <c r="F804" s="95"/>
      <c r="G804" s="21"/>
    </row>
    <row r="805" spans="2:7" s="32" customFormat="1" x14ac:dyDescent="0.25">
      <c r="B805" s="39"/>
      <c r="D805" s="59"/>
      <c r="E805" s="68"/>
      <c r="F805" s="95"/>
      <c r="G805" s="21"/>
    </row>
    <row r="806" spans="2:7" s="32" customFormat="1" x14ac:dyDescent="0.25">
      <c r="B806" s="39"/>
      <c r="D806" s="59"/>
      <c r="E806" s="68"/>
      <c r="F806" s="95"/>
      <c r="G806" s="21"/>
    </row>
    <row r="807" spans="2:7" s="32" customFormat="1" x14ac:dyDescent="0.25">
      <c r="B807" s="39"/>
      <c r="D807" s="59"/>
      <c r="E807" s="68"/>
      <c r="F807" s="95"/>
      <c r="G807" s="21"/>
    </row>
    <row r="808" spans="2:7" s="32" customFormat="1" x14ac:dyDescent="0.25">
      <c r="B808" s="39"/>
      <c r="D808" s="59"/>
      <c r="E808" s="68"/>
      <c r="F808" s="95"/>
      <c r="G808" s="21"/>
    </row>
    <row r="809" spans="2:7" s="32" customFormat="1" x14ac:dyDescent="0.25">
      <c r="B809" s="39"/>
      <c r="D809" s="59"/>
      <c r="E809" s="68"/>
      <c r="F809" s="95"/>
      <c r="G809" s="21"/>
    </row>
    <row r="810" spans="2:7" s="32" customFormat="1" x14ac:dyDescent="0.25">
      <c r="B810" s="39"/>
      <c r="D810" s="59"/>
      <c r="E810" s="68"/>
      <c r="F810" s="95"/>
      <c r="G810" s="21"/>
    </row>
    <row r="811" spans="2:7" s="32" customFormat="1" x14ac:dyDescent="0.25">
      <c r="B811" s="39"/>
      <c r="D811" s="59"/>
      <c r="E811" s="68"/>
      <c r="F811" s="95"/>
      <c r="G811" s="21"/>
    </row>
    <row r="812" spans="2:7" s="32" customFormat="1" x14ac:dyDescent="0.25">
      <c r="B812" s="39"/>
      <c r="D812" s="59"/>
      <c r="E812" s="68"/>
      <c r="F812" s="95"/>
      <c r="G812" s="21"/>
    </row>
    <row r="813" spans="2:7" s="32" customFormat="1" x14ac:dyDescent="0.25">
      <c r="B813" s="39"/>
      <c r="D813" s="59"/>
      <c r="E813" s="68"/>
      <c r="F813" s="95"/>
      <c r="G813" s="21"/>
    </row>
    <row r="814" spans="2:7" s="32" customFormat="1" x14ac:dyDescent="0.25">
      <c r="B814" s="39"/>
      <c r="D814" s="59"/>
      <c r="E814" s="68"/>
      <c r="F814" s="95"/>
      <c r="G814" s="21"/>
    </row>
    <row r="815" spans="2:7" s="32" customFormat="1" x14ac:dyDescent="0.25">
      <c r="B815" s="39"/>
      <c r="D815" s="59"/>
      <c r="E815" s="68"/>
      <c r="F815" s="95"/>
      <c r="G815" s="21"/>
    </row>
    <row r="816" spans="2:7" s="32" customFormat="1" x14ac:dyDescent="0.25">
      <c r="B816" s="39"/>
      <c r="D816" s="59"/>
      <c r="E816" s="68"/>
      <c r="F816" s="95"/>
      <c r="G816" s="21"/>
    </row>
    <row r="817" spans="2:7" s="32" customFormat="1" x14ac:dyDescent="0.25">
      <c r="B817" s="39"/>
      <c r="D817" s="59"/>
      <c r="E817" s="68"/>
      <c r="F817" s="95"/>
      <c r="G817" s="21"/>
    </row>
    <row r="818" spans="2:7" s="32" customFormat="1" x14ac:dyDescent="0.25">
      <c r="B818" s="39"/>
      <c r="D818" s="59"/>
      <c r="E818" s="68"/>
      <c r="F818" s="95"/>
      <c r="G818" s="21"/>
    </row>
    <row r="819" spans="2:7" s="32" customFormat="1" x14ac:dyDescent="0.25">
      <c r="B819" s="39"/>
      <c r="D819" s="59"/>
      <c r="E819" s="68"/>
      <c r="F819" s="95"/>
      <c r="G819" s="21"/>
    </row>
    <row r="820" spans="2:7" s="32" customFormat="1" x14ac:dyDescent="0.25">
      <c r="B820" s="39"/>
      <c r="D820" s="59"/>
      <c r="E820" s="68"/>
      <c r="F820" s="95"/>
      <c r="G820" s="21"/>
    </row>
    <row r="821" spans="2:7" s="32" customFormat="1" x14ac:dyDescent="0.25">
      <c r="B821" s="39"/>
      <c r="D821" s="59"/>
      <c r="E821" s="68"/>
      <c r="F821" s="95"/>
      <c r="G821" s="21"/>
    </row>
    <row r="822" spans="2:7" s="32" customFormat="1" x14ac:dyDescent="0.25">
      <c r="B822" s="39"/>
      <c r="D822" s="59"/>
      <c r="E822" s="68"/>
      <c r="F822" s="95"/>
      <c r="G822" s="21"/>
    </row>
    <row r="823" spans="2:7" s="32" customFormat="1" x14ac:dyDescent="0.25">
      <c r="B823" s="39"/>
      <c r="D823" s="59"/>
      <c r="E823" s="68"/>
      <c r="F823" s="95"/>
      <c r="G823" s="21"/>
    </row>
    <row r="824" spans="2:7" s="32" customFormat="1" x14ac:dyDescent="0.25">
      <c r="B824" s="39"/>
      <c r="D824" s="59"/>
      <c r="E824" s="68"/>
      <c r="F824" s="95"/>
      <c r="G824" s="21"/>
    </row>
    <row r="825" spans="2:7" s="32" customFormat="1" x14ac:dyDescent="0.25">
      <c r="B825" s="39"/>
      <c r="D825" s="59"/>
      <c r="E825" s="68"/>
      <c r="F825" s="95"/>
      <c r="G825" s="21"/>
    </row>
    <row r="826" spans="2:7" s="32" customFormat="1" x14ac:dyDescent="0.25">
      <c r="B826" s="39"/>
      <c r="D826" s="59"/>
      <c r="E826" s="68"/>
      <c r="F826" s="95"/>
      <c r="G826" s="21"/>
    </row>
    <row r="827" spans="2:7" s="32" customFormat="1" x14ac:dyDescent="0.25">
      <c r="B827" s="39"/>
      <c r="D827" s="59"/>
      <c r="E827" s="68"/>
      <c r="F827" s="95"/>
      <c r="G827" s="21"/>
    </row>
    <row r="828" spans="2:7" s="32" customFormat="1" x14ac:dyDescent="0.25">
      <c r="B828" s="39"/>
      <c r="D828" s="59"/>
      <c r="E828" s="68"/>
      <c r="F828" s="95"/>
      <c r="G828" s="21"/>
    </row>
    <row r="829" spans="2:7" s="32" customFormat="1" x14ac:dyDescent="0.25">
      <c r="B829" s="39"/>
      <c r="D829" s="59"/>
      <c r="E829" s="68"/>
      <c r="F829" s="95"/>
      <c r="G829" s="21"/>
    </row>
    <row r="830" spans="2:7" s="32" customFormat="1" x14ac:dyDescent="0.25">
      <c r="B830" s="39"/>
      <c r="D830" s="59"/>
      <c r="E830" s="68"/>
      <c r="F830" s="95"/>
      <c r="G830" s="21"/>
    </row>
    <row r="831" spans="2:7" s="32" customFormat="1" x14ac:dyDescent="0.25">
      <c r="B831" s="39"/>
      <c r="D831" s="59"/>
      <c r="E831" s="68"/>
      <c r="F831" s="95"/>
      <c r="G831" s="21"/>
    </row>
    <row r="832" spans="2:7" s="32" customFormat="1" x14ac:dyDescent="0.25">
      <c r="B832" s="39"/>
      <c r="D832" s="59"/>
      <c r="E832" s="68"/>
      <c r="F832" s="95"/>
      <c r="G832" s="21"/>
    </row>
    <row r="833" spans="2:7" s="32" customFormat="1" x14ac:dyDescent="0.25">
      <c r="B833" s="39"/>
      <c r="D833" s="59"/>
      <c r="E833" s="68"/>
      <c r="F833" s="95"/>
      <c r="G833" s="21"/>
    </row>
    <row r="834" spans="2:7" s="32" customFormat="1" x14ac:dyDescent="0.25">
      <c r="B834" s="39"/>
      <c r="D834" s="59"/>
      <c r="E834" s="68"/>
      <c r="F834" s="95"/>
      <c r="G834" s="21"/>
    </row>
    <row r="835" spans="2:7" s="32" customFormat="1" x14ac:dyDescent="0.25">
      <c r="B835" s="39"/>
      <c r="D835" s="59"/>
      <c r="E835" s="68"/>
      <c r="F835" s="95"/>
      <c r="G835" s="21"/>
    </row>
    <row r="836" spans="2:7" s="32" customFormat="1" x14ac:dyDescent="0.25">
      <c r="B836" s="39"/>
      <c r="D836" s="59"/>
      <c r="E836" s="68"/>
      <c r="F836" s="95"/>
      <c r="G836" s="21"/>
    </row>
    <row r="837" spans="2:7" s="32" customFormat="1" x14ac:dyDescent="0.25">
      <c r="B837" s="39"/>
      <c r="D837" s="59"/>
      <c r="E837" s="68"/>
      <c r="F837" s="95"/>
      <c r="G837" s="21"/>
    </row>
    <row r="838" spans="2:7" s="32" customFormat="1" x14ac:dyDescent="0.25">
      <c r="B838" s="39"/>
      <c r="D838" s="59"/>
      <c r="E838" s="68"/>
      <c r="F838" s="95"/>
      <c r="G838" s="21"/>
    </row>
    <row r="839" spans="2:7" s="32" customFormat="1" x14ac:dyDescent="0.25">
      <c r="B839" s="39"/>
      <c r="D839" s="59"/>
      <c r="E839" s="68"/>
      <c r="F839" s="95"/>
      <c r="G839" s="21"/>
    </row>
    <row r="840" spans="2:7" s="32" customFormat="1" x14ac:dyDescent="0.25">
      <c r="B840" s="39"/>
      <c r="D840" s="59"/>
      <c r="E840" s="68"/>
      <c r="F840" s="95"/>
      <c r="G840" s="21"/>
    </row>
    <row r="841" spans="2:7" s="32" customFormat="1" x14ac:dyDescent="0.25">
      <c r="B841" s="39"/>
      <c r="D841" s="59"/>
      <c r="E841" s="68"/>
      <c r="F841" s="95"/>
      <c r="G841" s="21"/>
    </row>
    <row r="842" spans="2:7" s="32" customFormat="1" x14ac:dyDescent="0.25">
      <c r="B842" s="39"/>
      <c r="D842" s="59"/>
      <c r="E842" s="68"/>
      <c r="F842" s="95"/>
      <c r="G842" s="21"/>
    </row>
    <row r="843" spans="2:7" s="32" customFormat="1" x14ac:dyDescent="0.25">
      <c r="B843" s="39"/>
      <c r="D843" s="59"/>
      <c r="E843" s="68"/>
      <c r="F843" s="95"/>
      <c r="G843" s="21"/>
    </row>
    <row r="844" spans="2:7" s="32" customFormat="1" x14ac:dyDescent="0.25">
      <c r="B844" s="39"/>
      <c r="D844" s="59"/>
      <c r="E844" s="68"/>
      <c r="F844" s="95"/>
      <c r="G844" s="21"/>
    </row>
    <row r="845" spans="2:7" s="32" customFormat="1" x14ac:dyDescent="0.25">
      <c r="B845" s="39"/>
      <c r="D845" s="59"/>
      <c r="E845" s="68"/>
      <c r="F845" s="95"/>
      <c r="G845" s="21"/>
    </row>
    <row r="846" spans="2:7" s="32" customFormat="1" x14ac:dyDescent="0.25">
      <c r="B846" s="39"/>
      <c r="D846" s="59"/>
      <c r="E846" s="68"/>
      <c r="F846" s="95"/>
      <c r="G846" s="21"/>
    </row>
    <row r="847" spans="2:7" s="32" customFormat="1" x14ac:dyDescent="0.25">
      <c r="B847" s="39"/>
      <c r="D847" s="59"/>
      <c r="E847" s="68"/>
      <c r="F847" s="95"/>
      <c r="G847" s="21"/>
    </row>
    <row r="848" spans="2:7" s="32" customFormat="1" x14ac:dyDescent="0.25">
      <c r="B848" s="39"/>
      <c r="D848" s="59"/>
      <c r="E848" s="68"/>
      <c r="F848" s="95"/>
      <c r="G848" s="21"/>
    </row>
    <row r="849" spans="2:7" s="32" customFormat="1" x14ac:dyDescent="0.25">
      <c r="B849" s="39"/>
      <c r="D849" s="59"/>
      <c r="E849" s="68"/>
      <c r="F849" s="95"/>
      <c r="G849" s="21"/>
    </row>
    <row r="850" spans="2:7" s="32" customFormat="1" x14ac:dyDescent="0.25">
      <c r="B850" s="39"/>
      <c r="D850" s="59"/>
      <c r="E850" s="68"/>
      <c r="F850" s="95"/>
      <c r="G850" s="21"/>
    </row>
    <row r="851" spans="2:7" s="32" customFormat="1" x14ac:dyDescent="0.25">
      <c r="B851" s="39"/>
      <c r="D851" s="59"/>
      <c r="E851" s="68"/>
      <c r="F851" s="95"/>
      <c r="G851" s="21"/>
    </row>
    <row r="852" spans="2:7" s="32" customFormat="1" x14ac:dyDescent="0.25">
      <c r="B852" s="39"/>
      <c r="D852" s="59"/>
      <c r="E852" s="68"/>
      <c r="F852" s="95"/>
      <c r="G852" s="21"/>
    </row>
    <row r="853" spans="2:7" s="32" customFormat="1" x14ac:dyDescent="0.25">
      <c r="B853" s="39"/>
      <c r="D853" s="59"/>
      <c r="E853" s="68"/>
      <c r="F853" s="95"/>
      <c r="G853" s="21"/>
    </row>
    <row r="854" spans="2:7" s="32" customFormat="1" x14ac:dyDescent="0.25">
      <c r="B854" s="39"/>
      <c r="D854" s="59"/>
      <c r="E854" s="68"/>
      <c r="F854" s="95"/>
      <c r="G854" s="21"/>
    </row>
    <row r="855" spans="2:7" s="32" customFormat="1" x14ac:dyDescent="0.25">
      <c r="B855" s="39"/>
      <c r="D855" s="59"/>
      <c r="E855" s="68"/>
      <c r="F855" s="95"/>
      <c r="G855" s="21"/>
    </row>
    <row r="856" spans="2:7" s="32" customFormat="1" x14ac:dyDescent="0.25">
      <c r="B856" s="39"/>
      <c r="D856" s="59"/>
      <c r="E856" s="68"/>
      <c r="F856" s="95"/>
      <c r="G856" s="21"/>
    </row>
    <row r="857" spans="2:7" s="32" customFormat="1" x14ac:dyDescent="0.25">
      <c r="B857" s="39"/>
      <c r="D857" s="59"/>
      <c r="E857" s="68"/>
      <c r="F857" s="95"/>
      <c r="G857" s="21"/>
    </row>
    <row r="858" spans="2:7" s="32" customFormat="1" x14ac:dyDescent="0.25">
      <c r="B858" s="39"/>
      <c r="D858" s="59"/>
      <c r="E858" s="68"/>
      <c r="F858" s="95"/>
      <c r="G858" s="21"/>
    </row>
    <row r="859" spans="2:7" s="32" customFormat="1" x14ac:dyDescent="0.25">
      <c r="B859" s="39"/>
      <c r="D859" s="59"/>
      <c r="E859" s="68"/>
      <c r="F859" s="95"/>
      <c r="G859" s="21"/>
    </row>
    <row r="860" spans="2:7" s="32" customFormat="1" x14ac:dyDescent="0.25">
      <c r="B860" s="39"/>
      <c r="D860" s="59"/>
      <c r="E860" s="68"/>
      <c r="F860" s="95"/>
      <c r="G860" s="21"/>
    </row>
    <row r="861" spans="2:7" s="32" customFormat="1" x14ac:dyDescent="0.25">
      <c r="B861" s="39"/>
      <c r="D861" s="59"/>
      <c r="E861" s="68"/>
      <c r="F861" s="95"/>
      <c r="G861" s="21"/>
    </row>
    <row r="862" spans="2:7" s="32" customFormat="1" x14ac:dyDescent="0.25">
      <c r="B862" s="39"/>
      <c r="D862" s="59"/>
      <c r="E862" s="68"/>
      <c r="F862" s="95"/>
      <c r="G862" s="21"/>
    </row>
    <row r="863" spans="2:7" s="32" customFormat="1" x14ac:dyDescent="0.25">
      <c r="B863" s="39"/>
      <c r="D863" s="59"/>
      <c r="E863" s="68"/>
      <c r="F863" s="95"/>
      <c r="G863" s="21"/>
    </row>
    <row r="864" spans="2:7" s="32" customFormat="1" x14ac:dyDescent="0.25">
      <c r="B864" s="39"/>
      <c r="D864" s="59"/>
      <c r="E864" s="68"/>
      <c r="F864" s="95"/>
      <c r="G864" s="21"/>
    </row>
    <row r="865" spans="2:7" s="32" customFormat="1" x14ac:dyDescent="0.25">
      <c r="B865" s="39"/>
      <c r="D865" s="59"/>
      <c r="E865" s="68"/>
      <c r="F865" s="95"/>
      <c r="G865" s="21"/>
    </row>
    <row r="866" spans="2:7" s="32" customFormat="1" x14ac:dyDescent="0.25">
      <c r="B866" s="39"/>
      <c r="D866" s="59"/>
      <c r="E866" s="68"/>
      <c r="F866" s="95"/>
      <c r="G866" s="21"/>
    </row>
    <row r="867" spans="2:7" s="32" customFormat="1" x14ac:dyDescent="0.25">
      <c r="B867" s="39"/>
      <c r="D867" s="59"/>
      <c r="E867" s="68"/>
      <c r="F867" s="95"/>
      <c r="G867" s="21"/>
    </row>
    <row r="868" spans="2:7" s="32" customFormat="1" x14ac:dyDescent="0.25">
      <c r="B868" s="39"/>
      <c r="D868" s="59"/>
      <c r="E868" s="68"/>
      <c r="F868" s="95"/>
      <c r="G868" s="21"/>
    </row>
    <row r="869" spans="2:7" s="32" customFormat="1" x14ac:dyDescent="0.25">
      <c r="B869" s="39"/>
      <c r="D869" s="59"/>
      <c r="E869" s="68"/>
      <c r="F869" s="95"/>
      <c r="G869" s="21"/>
    </row>
    <row r="870" spans="2:7" s="32" customFormat="1" x14ac:dyDescent="0.25">
      <c r="B870" s="39"/>
      <c r="D870" s="59"/>
      <c r="E870" s="68"/>
      <c r="F870" s="95"/>
      <c r="G870" s="21"/>
    </row>
    <row r="871" spans="2:7" s="32" customFormat="1" x14ac:dyDescent="0.25">
      <c r="B871" s="39"/>
      <c r="D871" s="59"/>
      <c r="E871" s="68"/>
      <c r="F871" s="95"/>
      <c r="G871" s="21"/>
    </row>
    <row r="872" spans="2:7" s="32" customFormat="1" x14ac:dyDescent="0.25">
      <c r="B872" s="39"/>
      <c r="D872" s="59"/>
      <c r="E872" s="68"/>
      <c r="F872" s="95"/>
      <c r="G872" s="21"/>
    </row>
    <row r="873" spans="2:7" s="32" customFormat="1" x14ac:dyDescent="0.25">
      <c r="B873" s="39"/>
      <c r="D873" s="59"/>
      <c r="E873" s="68"/>
      <c r="F873" s="95"/>
      <c r="G873" s="21"/>
    </row>
    <row r="874" spans="2:7" s="32" customFormat="1" x14ac:dyDescent="0.25">
      <c r="B874" s="39"/>
      <c r="D874" s="59"/>
      <c r="E874" s="68"/>
      <c r="F874" s="95"/>
      <c r="G874" s="21"/>
    </row>
    <row r="875" spans="2:7" s="32" customFormat="1" x14ac:dyDescent="0.25">
      <c r="B875" s="39"/>
      <c r="D875" s="59"/>
      <c r="E875" s="68"/>
      <c r="F875" s="95"/>
      <c r="G875" s="21"/>
    </row>
    <row r="876" spans="2:7" s="32" customFormat="1" x14ac:dyDescent="0.25">
      <c r="B876" s="39"/>
      <c r="D876" s="59"/>
      <c r="E876" s="68"/>
      <c r="F876" s="95"/>
      <c r="G876" s="21"/>
    </row>
    <row r="877" spans="2:7" s="32" customFormat="1" x14ac:dyDescent="0.25">
      <c r="B877" s="39"/>
      <c r="D877" s="59"/>
      <c r="E877" s="68"/>
      <c r="F877" s="95"/>
      <c r="G877" s="21"/>
    </row>
    <row r="878" spans="2:7" s="32" customFormat="1" x14ac:dyDescent="0.25">
      <c r="B878" s="39"/>
      <c r="D878" s="59"/>
      <c r="E878" s="68"/>
      <c r="F878" s="95"/>
      <c r="G878" s="21"/>
    </row>
    <row r="879" spans="2:7" s="32" customFormat="1" x14ac:dyDescent="0.25">
      <c r="B879" s="39"/>
      <c r="D879" s="59"/>
      <c r="E879" s="68"/>
      <c r="F879" s="95"/>
      <c r="G879" s="21"/>
    </row>
    <row r="880" spans="2:7" s="32" customFormat="1" x14ac:dyDescent="0.25">
      <c r="B880" s="39"/>
      <c r="D880" s="59"/>
      <c r="E880" s="68"/>
      <c r="F880" s="95"/>
      <c r="G880" s="21"/>
    </row>
    <row r="881" spans="2:7" s="32" customFormat="1" x14ac:dyDescent="0.25">
      <c r="B881" s="39"/>
      <c r="D881" s="59"/>
      <c r="E881" s="68"/>
      <c r="F881" s="95"/>
      <c r="G881" s="21"/>
    </row>
    <row r="882" spans="2:7" s="32" customFormat="1" x14ac:dyDescent="0.25">
      <c r="B882" s="39"/>
      <c r="D882" s="59"/>
      <c r="E882" s="68"/>
      <c r="F882" s="95"/>
      <c r="G882" s="21"/>
    </row>
    <row r="883" spans="2:7" s="32" customFormat="1" x14ac:dyDescent="0.25">
      <c r="B883" s="39"/>
      <c r="D883" s="59"/>
      <c r="E883" s="68"/>
      <c r="F883" s="95"/>
      <c r="G883" s="21"/>
    </row>
    <row r="884" spans="2:7" s="32" customFormat="1" x14ac:dyDescent="0.25">
      <c r="B884" s="39"/>
      <c r="D884" s="59"/>
      <c r="E884" s="68"/>
      <c r="F884" s="95"/>
      <c r="G884" s="21"/>
    </row>
    <row r="885" spans="2:7" s="32" customFormat="1" x14ac:dyDescent="0.25">
      <c r="B885" s="39"/>
      <c r="D885" s="59"/>
      <c r="E885" s="68"/>
      <c r="F885" s="95"/>
      <c r="G885" s="21"/>
    </row>
    <row r="886" spans="2:7" s="32" customFormat="1" x14ac:dyDescent="0.25">
      <c r="B886" s="39"/>
      <c r="D886" s="59"/>
      <c r="E886" s="68"/>
      <c r="F886" s="95"/>
      <c r="G886" s="21"/>
    </row>
    <row r="887" spans="2:7" s="32" customFormat="1" x14ac:dyDescent="0.25">
      <c r="B887" s="39"/>
      <c r="D887" s="59"/>
      <c r="E887" s="68"/>
      <c r="F887" s="95"/>
      <c r="G887" s="21"/>
    </row>
    <row r="888" spans="2:7" s="32" customFormat="1" x14ac:dyDescent="0.25">
      <c r="B888" s="39"/>
      <c r="D888" s="59"/>
      <c r="E888" s="68"/>
      <c r="F888" s="95"/>
      <c r="G888" s="21"/>
    </row>
    <row r="889" spans="2:7" s="32" customFormat="1" x14ac:dyDescent="0.25">
      <c r="B889" s="39"/>
      <c r="D889" s="59"/>
      <c r="E889" s="68"/>
      <c r="F889" s="95"/>
      <c r="G889" s="21"/>
    </row>
    <row r="890" spans="2:7" s="32" customFormat="1" x14ac:dyDescent="0.25">
      <c r="B890" s="39"/>
      <c r="D890" s="59"/>
      <c r="E890" s="68"/>
      <c r="F890" s="95"/>
      <c r="G890" s="21"/>
    </row>
    <row r="891" spans="2:7" s="32" customFormat="1" x14ac:dyDescent="0.25">
      <c r="B891" s="39"/>
      <c r="D891" s="59"/>
      <c r="E891" s="68"/>
      <c r="F891" s="95"/>
      <c r="G891" s="21"/>
    </row>
    <row r="892" spans="2:7" s="32" customFormat="1" x14ac:dyDescent="0.25">
      <c r="B892" s="39"/>
      <c r="D892" s="59"/>
      <c r="E892" s="68"/>
      <c r="F892" s="95"/>
      <c r="G892" s="21"/>
    </row>
    <row r="893" spans="2:7" s="32" customFormat="1" x14ac:dyDescent="0.25">
      <c r="B893" s="39"/>
      <c r="D893" s="59"/>
      <c r="E893" s="68"/>
      <c r="F893" s="95"/>
      <c r="G893" s="21"/>
    </row>
    <row r="894" spans="2:7" s="32" customFormat="1" x14ac:dyDescent="0.25">
      <c r="B894" s="39"/>
      <c r="D894" s="59"/>
      <c r="E894" s="68"/>
      <c r="F894" s="95"/>
      <c r="G894" s="21"/>
    </row>
    <row r="895" spans="2:7" s="32" customFormat="1" x14ac:dyDescent="0.25">
      <c r="B895" s="39"/>
      <c r="D895" s="59"/>
      <c r="E895" s="68"/>
      <c r="F895" s="95"/>
      <c r="G895" s="21"/>
    </row>
    <row r="896" spans="2:7" s="32" customFormat="1" x14ac:dyDescent="0.25">
      <c r="B896" s="39"/>
      <c r="D896" s="59"/>
      <c r="E896" s="68"/>
      <c r="F896" s="95"/>
      <c r="G896" s="21"/>
    </row>
    <row r="897" spans="2:7" s="32" customFormat="1" x14ac:dyDescent="0.25">
      <c r="B897" s="39"/>
      <c r="D897" s="59"/>
      <c r="E897" s="68"/>
      <c r="F897" s="95"/>
      <c r="G897" s="21"/>
    </row>
    <row r="898" spans="2:7" s="32" customFormat="1" x14ac:dyDescent="0.25">
      <c r="B898" s="39"/>
      <c r="D898" s="59"/>
      <c r="E898" s="68"/>
      <c r="F898" s="95"/>
      <c r="G898" s="21"/>
    </row>
    <row r="899" spans="2:7" s="32" customFormat="1" x14ac:dyDescent="0.25">
      <c r="B899" s="39"/>
      <c r="D899" s="59"/>
      <c r="E899" s="68"/>
      <c r="F899" s="95"/>
      <c r="G899" s="21"/>
    </row>
    <row r="900" spans="2:7" s="32" customFormat="1" x14ac:dyDescent="0.25">
      <c r="B900" s="39"/>
      <c r="D900" s="59"/>
      <c r="E900" s="68"/>
      <c r="F900" s="95"/>
      <c r="G900" s="21"/>
    </row>
    <row r="901" spans="2:7" s="32" customFormat="1" x14ac:dyDescent="0.25">
      <c r="B901" s="39"/>
      <c r="D901" s="59"/>
      <c r="E901" s="68"/>
      <c r="F901" s="95"/>
      <c r="G901" s="21"/>
    </row>
    <row r="902" spans="2:7" s="32" customFormat="1" x14ac:dyDescent="0.25">
      <c r="B902" s="39"/>
      <c r="D902" s="59"/>
      <c r="E902" s="68"/>
      <c r="F902" s="95"/>
      <c r="G902" s="21"/>
    </row>
    <row r="903" spans="2:7" s="32" customFormat="1" x14ac:dyDescent="0.25">
      <c r="B903" s="39"/>
      <c r="D903" s="59"/>
      <c r="E903" s="68"/>
      <c r="F903" s="95"/>
      <c r="G903" s="21"/>
    </row>
  </sheetData>
  <mergeCells count="12">
    <mergeCell ref="B12:E12"/>
    <mergeCell ref="B1:F1"/>
    <mergeCell ref="A2:F2"/>
    <mergeCell ref="A3:F3"/>
    <mergeCell ref="B4:E4"/>
    <mergeCell ref="A5:F5"/>
    <mergeCell ref="B6:E6"/>
    <mergeCell ref="A7:F7"/>
    <mergeCell ref="B8:E8"/>
    <mergeCell ref="A9:F9"/>
    <mergeCell ref="B10:E10"/>
    <mergeCell ref="A11:F11"/>
  </mergeCells>
  <pageMargins left="0.51181102362204722" right="0.39370078740157483" top="0.94488188976377963" bottom="0.74803149606299213" header="0.23622047244094491" footer="0.31496062992125984"/>
  <pageSetup paperSize="9" scale="98" firstPageNumber="49"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F - Summary</oddHeader>
    <oddFooter>&amp;L&amp;"Arial,Regular"&amp;9Bill of Quantities&amp;R&amp;"Arial,Regular"&amp;9BOQ.&amp;P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CBF5B-3555-4E88-BBDB-D7C88A7919EC}">
  <dimension ref="A1:G1272"/>
  <sheetViews>
    <sheetView view="pageBreakPreview" topLeftCell="A327" zoomScale="130" zoomScaleNormal="115" zoomScaleSheetLayoutView="130" zoomScalePageLayoutView="115" workbookViewId="0">
      <selection activeCell="C333" sqref="C333"/>
    </sheetView>
  </sheetViews>
  <sheetFormatPr defaultColWidth="9.140625" defaultRowHeight="12" x14ac:dyDescent="0.25"/>
  <cols>
    <col min="1" max="1" width="7.7109375" style="315" bestFit="1" customWidth="1"/>
    <col min="2" max="2" width="9.42578125" style="315" customWidth="1"/>
    <col min="3" max="3" width="35.140625" style="327" customWidth="1"/>
    <col min="4" max="4" width="5.140625" style="315" customWidth="1"/>
    <col min="5" max="5" width="6.85546875" style="321" bestFit="1" customWidth="1"/>
    <col min="6" max="6" width="11.7109375" style="322" customWidth="1"/>
    <col min="7" max="7" width="17.5703125" style="315" customWidth="1"/>
    <col min="8" max="8" width="9.140625" style="21"/>
    <col min="9" max="9" width="11" style="21" bestFit="1" customWidth="1"/>
    <col min="10" max="16384" width="9.140625" style="21"/>
  </cols>
  <sheetData>
    <row r="1" spans="1:7" ht="15" customHeight="1" x14ac:dyDescent="0.25">
      <c r="A1" s="29"/>
      <c r="B1" s="30"/>
      <c r="C1" s="528" t="s">
        <v>622</v>
      </c>
      <c r="D1" s="528"/>
      <c r="E1" s="528"/>
      <c r="F1" s="528"/>
      <c r="G1" s="529"/>
    </row>
    <row r="2" spans="1:7" ht="27.75" customHeight="1" x14ac:dyDescent="0.25">
      <c r="A2" s="73" t="s">
        <v>91</v>
      </c>
      <c r="B2" s="31" t="s">
        <v>21</v>
      </c>
      <c r="C2" s="148" t="s">
        <v>0</v>
      </c>
      <c r="D2" s="73" t="s">
        <v>1</v>
      </c>
      <c r="E2" s="74" t="s">
        <v>22</v>
      </c>
      <c r="F2" s="63" t="s">
        <v>2</v>
      </c>
      <c r="G2" s="73" t="s">
        <v>77</v>
      </c>
    </row>
    <row r="3" spans="1:7" ht="11.85" customHeight="1" x14ac:dyDescent="0.25">
      <c r="A3" s="422"/>
      <c r="B3" s="418"/>
      <c r="C3" s="408"/>
      <c r="D3" s="408"/>
      <c r="E3" s="409"/>
      <c r="F3" s="423"/>
      <c r="G3" s="408"/>
    </row>
    <row r="4" spans="1:7" ht="24" x14ac:dyDescent="0.25">
      <c r="A4" s="227" t="s">
        <v>213</v>
      </c>
      <c r="B4" s="207" t="s">
        <v>14</v>
      </c>
      <c r="C4" s="38" t="s">
        <v>241</v>
      </c>
      <c r="D4" s="207"/>
      <c r="E4" s="208"/>
      <c r="F4" s="294"/>
      <c r="G4" s="207"/>
    </row>
    <row r="5" spans="1:7" ht="11.85" customHeight="1" x14ac:dyDescent="0.25">
      <c r="A5" s="424"/>
      <c r="B5" s="204"/>
      <c r="C5" s="205"/>
      <c r="D5" s="205"/>
      <c r="E5" s="425"/>
      <c r="F5" s="426"/>
      <c r="G5" s="205"/>
    </row>
    <row r="6" spans="1:7" ht="24" x14ac:dyDescent="0.25">
      <c r="A6" s="108" t="s">
        <v>1562</v>
      </c>
      <c r="B6" s="210" t="s">
        <v>5</v>
      </c>
      <c r="C6" s="119" t="s">
        <v>623</v>
      </c>
      <c r="D6" s="210" t="s">
        <v>6</v>
      </c>
      <c r="E6" s="186">
        <f>ROUNDUP(SUM(E143:E155),0)</f>
        <v>2054</v>
      </c>
      <c r="F6" s="234"/>
      <c r="G6" s="232"/>
    </row>
    <row r="7" spans="1:7" ht="11.85" customHeight="1" x14ac:dyDescent="0.25">
      <c r="A7" s="424"/>
      <c r="B7" s="204"/>
      <c r="C7" s="205"/>
      <c r="D7" s="205"/>
      <c r="E7" s="425"/>
      <c r="F7" s="426"/>
      <c r="G7" s="205"/>
    </row>
    <row r="8" spans="1:7" ht="36" x14ac:dyDescent="0.25">
      <c r="A8" s="108" t="s">
        <v>1563</v>
      </c>
      <c r="B8" s="210" t="s">
        <v>394</v>
      </c>
      <c r="C8" s="233" t="s">
        <v>496</v>
      </c>
      <c r="D8" s="210" t="s">
        <v>87</v>
      </c>
      <c r="E8" s="211">
        <f>+E6*2</f>
        <v>4108</v>
      </c>
      <c r="F8" s="234"/>
      <c r="G8" s="232"/>
    </row>
    <row r="9" spans="1:7" x14ac:dyDescent="0.25">
      <c r="A9" s="424"/>
      <c r="B9" s="204"/>
      <c r="C9" s="205"/>
      <c r="D9" s="205"/>
      <c r="E9" s="425"/>
      <c r="F9" s="426"/>
      <c r="G9" s="205"/>
    </row>
    <row r="10" spans="1:7" ht="36" x14ac:dyDescent="0.25">
      <c r="A10" s="108"/>
      <c r="B10" s="138" t="s">
        <v>552</v>
      </c>
      <c r="C10" s="60" t="s">
        <v>554</v>
      </c>
      <c r="D10" s="210"/>
      <c r="E10" s="211"/>
      <c r="F10" s="234"/>
      <c r="G10" s="232"/>
    </row>
    <row r="11" spans="1:7" x14ac:dyDescent="0.25">
      <c r="A11" s="424"/>
      <c r="B11" s="204"/>
      <c r="C11" s="205"/>
      <c r="D11" s="205"/>
      <c r="E11" s="425"/>
      <c r="F11" s="426"/>
      <c r="G11" s="205"/>
    </row>
    <row r="12" spans="1:7" x14ac:dyDescent="0.25">
      <c r="A12" s="108" t="s">
        <v>1564</v>
      </c>
      <c r="B12" s="210"/>
      <c r="C12" s="233" t="s">
        <v>749</v>
      </c>
      <c r="D12" s="210" t="s">
        <v>6</v>
      </c>
      <c r="E12" s="211">
        <v>12</v>
      </c>
      <c r="F12" s="234"/>
      <c r="G12" s="232"/>
    </row>
    <row r="13" spans="1:7" x14ac:dyDescent="0.25">
      <c r="A13" s="424"/>
      <c r="B13" s="204"/>
      <c r="C13" s="205"/>
      <c r="D13" s="205"/>
      <c r="E13" s="425"/>
      <c r="F13" s="426"/>
      <c r="G13" s="205"/>
    </row>
    <row r="14" spans="1:7" x14ac:dyDescent="0.25">
      <c r="A14" s="108" t="s">
        <v>1565</v>
      </c>
      <c r="B14" s="210"/>
      <c r="C14" s="233" t="s">
        <v>625</v>
      </c>
      <c r="D14" s="210" t="s">
        <v>6</v>
      </c>
      <c r="E14" s="211">
        <f>ROUNDUP(31.45+42,0)</f>
        <v>74</v>
      </c>
      <c r="F14" s="234"/>
      <c r="G14" s="232"/>
    </row>
    <row r="15" spans="1:7" ht="11.85" customHeight="1" x14ac:dyDescent="0.25">
      <c r="A15" s="424"/>
      <c r="B15" s="204"/>
      <c r="C15" s="205"/>
      <c r="D15" s="205"/>
      <c r="E15" s="425"/>
      <c r="F15" s="426"/>
      <c r="G15" s="205"/>
    </row>
    <row r="16" spans="1:7" ht="24" x14ac:dyDescent="0.25">
      <c r="A16" s="108" t="s">
        <v>1566</v>
      </c>
      <c r="B16" s="210" t="s">
        <v>2191</v>
      </c>
      <c r="C16" s="119" t="s">
        <v>624</v>
      </c>
      <c r="D16" s="210" t="s">
        <v>88</v>
      </c>
      <c r="E16" s="211">
        <v>25</v>
      </c>
      <c r="F16" s="234"/>
      <c r="G16" s="232"/>
    </row>
    <row r="17" spans="1:7" ht="11.85" customHeight="1" x14ac:dyDescent="0.25">
      <c r="A17" s="424"/>
      <c r="B17" s="204"/>
      <c r="C17" s="205"/>
      <c r="D17" s="205"/>
      <c r="E17" s="425"/>
      <c r="F17" s="426"/>
      <c r="G17" s="205"/>
    </row>
    <row r="18" spans="1:7" ht="36" x14ac:dyDescent="0.25">
      <c r="A18" s="108" t="s">
        <v>1567</v>
      </c>
      <c r="B18" s="210" t="s">
        <v>2147</v>
      </c>
      <c r="C18" s="119" t="s">
        <v>626</v>
      </c>
      <c r="D18" s="210" t="s">
        <v>87</v>
      </c>
      <c r="E18" s="219">
        <f>(9+9+7+7.5+6)*1.2</f>
        <v>46.199999999999996</v>
      </c>
      <c r="F18" s="274"/>
      <c r="G18" s="255"/>
    </row>
    <row r="19" spans="1:7" ht="11.85" customHeight="1" x14ac:dyDescent="0.25">
      <c r="A19" s="424"/>
      <c r="B19" s="204"/>
      <c r="C19" s="205"/>
      <c r="D19" s="205"/>
      <c r="E19" s="425"/>
      <c r="F19" s="426"/>
      <c r="G19" s="205"/>
    </row>
    <row r="20" spans="1:7" ht="11.85" customHeight="1" x14ac:dyDescent="0.25">
      <c r="A20" s="108"/>
      <c r="B20" s="229"/>
      <c r="C20" s="37"/>
      <c r="D20" s="229"/>
      <c r="E20" s="211"/>
      <c r="F20" s="234"/>
      <c r="G20" s="232"/>
    </row>
    <row r="21" spans="1:7" ht="11.85" customHeight="1" x14ac:dyDescent="0.25">
      <c r="A21" s="424"/>
      <c r="B21" s="204"/>
      <c r="C21" s="205"/>
      <c r="D21" s="205"/>
      <c r="E21" s="425"/>
      <c r="F21" s="426"/>
      <c r="G21" s="205"/>
    </row>
    <row r="22" spans="1:7" ht="11.85" customHeight="1" x14ac:dyDescent="0.25">
      <c r="A22" s="108"/>
      <c r="B22" s="229"/>
      <c r="C22" s="37"/>
      <c r="D22" s="229"/>
      <c r="E22" s="211"/>
      <c r="F22" s="234"/>
      <c r="G22" s="232"/>
    </row>
    <row r="23" spans="1:7" ht="11.85" customHeight="1" x14ac:dyDescent="0.25">
      <c r="A23" s="424"/>
      <c r="B23" s="204"/>
      <c r="C23" s="205"/>
      <c r="D23" s="205"/>
      <c r="E23" s="425"/>
      <c r="F23" s="426"/>
      <c r="G23" s="205"/>
    </row>
    <row r="24" spans="1:7" ht="11.85" customHeight="1" x14ac:dyDescent="0.25">
      <c r="A24" s="108"/>
      <c r="B24" s="229"/>
      <c r="C24" s="37"/>
      <c r="D24" s="229"/>
      <c r="E24" s="211"/>
      <c r="F24" s="234"/>
      <c r="G24" s="232"/>
    </row>
    <row r="25" spans="1:7" ht="11.85" customHeight="1" x14ac:dyDescent="0.25">
      <c r="A25" s="424"/>
      <c r="B25" s="204"/>
      <c r="C25" s="205"/>
      <c r="D25" s="205"/>
      <c r="E25" s="425"/>
      <c r="F25" s="426"/>
      <c r="G25" s="205"/>
    </row>
    <row r="26" spans="1:7" ht="11.85" customHeight="1" x14ac:dyDescent="0.25">
      <c r="A26" s="108"/>
      <c r="B26" s="229"/>
      <c r="C26" s="37"/>
      <c r="D26" s="229"/>
      <c r="E26" s="211"/>
      <c r="F26" s="234"/>
      <c r="G26" s="232"/>
    </row>
    <row r="27" spans="1:7" ht="11.85" customHeight="1" x14ac:dyDescent="0.25">
      <c r="A27" s="424"/>
      <c r="B27" s="204"/>
      <c r="C27" s="205"/>
      <c r="D27" s="205"/>
      <c r="E27" s="425"/>
      <c r="F27" s="426"/>
      <c r="G27" s="205"/>
    </row>
    <row r="28" spans="1:7" ht="11.85" customHeight="1" x14ac:dyDescent="0.25">
      <c r="A28" s="108"/>
      <c r="B28" s="229"/>
      <c r="C28" s="37"/>
      <c r="D28" s="229"/>
      <c r="E28" s="211"/>
      <c r="F28" s="234"/>
      <c r="G28" s="232"/>
    </row>
    <row r="29" spans="1:7" ht="11.85" customHeight="1" x14ac:dyDescent="0.25">
      <c r="A29" s="424"/>
      <c r="B29" s="204"/>
      <c r="C29" s="205"/>
      <c r="D29" s="205"/>
      <c r="E29" s="425"/>
      <c r="F29" s="426"/>
      <c r="G29" s="205"/>
    </row>
    <row r="30" spans="1:7" ht="11.85" customHeight="1" x14ac:dyDescent="0.25">
      <c r="A30" s="108"/>
      <c r="B30" s="229"/>
      <c r="C30" s="37"/>
      <c r="D30" s="229"/>
      <c r="E30" s="211"/>
      <c r="F30" s="234"/>
      <c r="G30" s="232"/>
    </row>
    <row r="31" spans="1:7" ht="11.85" customHeight="1" x14ac:dyDescent="0.25">
      <c r="A31" s="424"/>
      <c r="B31" s="204"/>
      <c r="C31" s="205"/>
      <c r="D31" s="205"/>
      <c r="E31" s="425"/>
      <c r="F31" s="426"/>
      <c r="G31" s="205"/>
    </row>
    <row r="32" spans="1:7" ht="11.85" customHeight="1" x14ac:dyDescent="0.25">
      <c r="A32" s="108"/>
      <c r="B32" s="229"/>
      <c r="C32" s="37"/>
      <c r="D32" s="229"/>
      <c r="E32" s="211"/>
      <c r="F32" s="234"/>
      <c r="G32" s="232"/>
    </row>
    <row r="33" spans="1:7" ht="11.85" customHeight="1" x14ac:dyDescent="0.25">
      <c r="A33" s="424"/>
      <c r="B33" s="204"/>
      <c r="C33" s="205"/>
      <c r="D33" s="205"/>
      <c r="E33" s="425"/>
      <c r="F33" s="426"/>
      <c r="G33" s="205"/>
    </row>
    <row r="34" spans="1:7" ht="11.85" customHeight="1" x14ac:dyDescent="0.25">
      <c r="A34" s="108"/>
      <c r="B34" s="229"/>
      <c r="C34" s="37"/>
      <c r="D34" s="229"/>
      <c r="E34" s="211"/>
      <c r="F34" s="234"/>
      <c r="G34" s="232"/>
    </row>
    <row r="35" spans="1:7" ht="11.85" customHeight="1" x14ac:dyDescent="0.25">
      <c r="A35" s="424"/>
      <c r="B35" s="204"/>
      <c r="C35" s="205"/>
      <c r="D35" s="205"/>
      <c r="E35" s="425"/>
      <c r="F35" s="426"/>
      <c r="G35" s="205"/>
    </row>
    <row r="36" spans="1:7" ht="11.85" customHeight="1" x14ac:dyDescent="0.25">
      <c r="A36" s="108"/>
      <c r="B36" s="229"/>
      <c r="C36" s="37"/>
      <c r="D36" s="229"/>
      <c r="E36" s="211"/>
      <c r="F36" s="234"/>
      <c r="G36" s="232"/>
    </row>
    <row r="37" spans="1:7" ht="11.85" customHeight="1" x14ac:dyDescent="0.25">
      <c r="A37" s="424"/>
      <c r="B37" s="204"/>
      <c r="C37" s="205"/>
      <c r="D37" s="205"/>
      <c r="E37" s="425"/>
      <c r="F37" s="426"/>
      <c r="G37" s="205"/>
    </row>
    <row r="38" spans="1:7" ht="11.85" customHeight="1" x14ac:dyDescent="0.25">
      <c r="A38" s="108"/>
      <c r="B38" s="229"/>
      <c r="C38" s="37"/>
      <c r="D38" s="229"/>
      <c r="E38" s="211"/>
      <c r="F38" s="234"/>
      <c r="G38" s="232"/>
    </row>
    <row r="39" spans="1:7" ht="11.85" customHeight="1" x14ac:dyDescent="0.25">
      <c r="A39" s="424"/>
      <c r="B39" s="204"/>
      <c r="C39" s="205"/>
      <c r="D39" s="205"/>
      <c r="E39" s="425"/>
      <c r="F39" s="426"/>
      <c r="G39" s="205"/>
    </row>
    <row r="40" spans="1:7" ht="11.85" customHeight="1" x14ac:dyDescent="0.25">
      <c r="A40" s="108"/>
      <c r="B40" s="229"/>
      <c r="C40" s="37"/>
      <c r="D40" s="229"/>
      <c r="E40" s="211"/>
      <c r="F40" s="234"/>
      <c r="G40" s="232"/>
    </row>
    <row r="41" spans="1:7" ht="11.85" customHeight="1" x14ac:dyDescent="0.25">
      <c r="A41" s="424"/>
      <c r="B41" s="204"/>
      <c r="C41" s="205"/>
      <c r="D41" s="205"/>
      <c r="E41" s="425"/>
      <c r="F41" s="426"/>
      <c r="G41" s="205"/>
    </row>
    <row r="42" spans="1:7" ht="11.85" customHeight="1" x14ac:dyDescent="0.25">
      <c r="A42" s="246"/>
      <c r="B42" s="229"/>
      <c r="C42" s="37"/>
      <c r="D42" s="229"/>
      <c r="E42" s="241"/>
      <c r="F42" s="234"/>
      <c r="G42" s="232"/>
    </row>
    <row r="43" spans="1:7" ht="11.85" customHeight="1" x14ac:dyDescent="0.25">
      <c r="A43" s="424"/>
      <c r="B43" s="204"/>
      <c r="C43" s="205"/>
      <c r="D43" s="205"/>
      <c r="E43" s="425"/>
      <c r="F43" s="426"/>
      <c r="G43" s="205"/>
    </row>
    <row r="44" spans="1:7" ht="11.85" customHeight="1" x14ac:dyDescent="0.25">
      <c r="A44" s="246"/>
      <c r="B44" s="229"/>
      <c r="C44" s="247"/>
      <c r="D44" s="229"/>
      <c r="E44" s="241"/>
      <c r="F44" s="242"/>
      <c r="G44" s="243"/>
    </row>
    <row r="45" spans="1:7" ht="11.85" customHeight="1" x14ac:dyDescent="0.25">
      <c r="A45" s="424"/>
      <c r="B45" s="204"/>
      <c r="C45" s="205"/>
      <c r="D45" s="205"/>
      <c r="E45" s="425"/>
      <c r="F45" s="426"/>
      <c r="G45" s="205"/>
    </row>
    <row r="46" spans="1:7" ht="11.85" customHeight="1" x14ac:dyDescent="0.25">
      <c r="A46" s="246"/>
      <c r="B46" s="229"/>
      <c r="C46" s="247"/>
      <c r="D46" s="229"/>
      <c r="E46" s="241"/>
      <c r="F46" s="242"/>
      <c r="G46" s="243"/>
    </row>
    <row r="47" spans="1:7" ht="11.85" customHeight="1" x14ac:dyDescent="0.25">
      <c r="A47" s="424"/>
      <c r="B47" s="204"/>
      <c r="C47" s="205"/>
      <c r="D47" s="205"/>
      <c r="E47" s="425"/>
      <c r="F47" s="426"/>
      <c r="G47" s="205"/>
    </row>
    <row r="48" spans="1:7" ht="11.85" customHeight="1" x14ac:dyDescent="0.25">
      <c r="A48" s="246"/>
      <c r="B48" s="229"/>
      <c r="C48" s="247"/>
      <c r="D48" s="229"/>
      <c r="E48" s="241"/>
      <c r="F48" s="242"/>
      <c r="G48" s="243"/>
    </row>
    <row r="49" spans="1:7" ht="11.85" customHeight="1" x14ac:dyDescent="0.25">
      <c r="A49" s="424"/>
      <c r="B49" s="204"/>
      <c r="C49" s="205"/>
      <c r="D49" s="205"/>
      <c r="E49" s="425"/>
      <c r="F49" s="426"/>
      <c r="G49" s="205"/>
    </row>
    <row r="50" spans="1:7" ht="28.5" customHeight="1" x14ac:dyDescent="0.25">
      <c r="A50" s="539" t="s">
        <v>1589</v>
      </c>
      <c r="B50" s="528"/>
      <c r="C50" s="528"/>
      <c r="D50" s="528"/>
      <c r="E50" s="528"/>
      <c r="F50" s="529"/>
      <c r="G50" s="336"/>
    </row>
    <row r="51" spans="1:7" ht="11.85" customHeight="1" x14ac:dyDescent="0.25">
      <c r="A51" s="424"/>
      <c r="B51" s="204"/>
      <c r="C51" s="205"/>
      <c r="D51" s="205"/>
      <c r="E51" s="425"/>
      <c r="F51" s="426"/>
      <c r="G51" s="205"/>
    </row>
    <row r="52" spans="1:7" ht="24" x14ac:dyDescent="0.25">
      <c r="A52" s="227" t="s">
        <v>230</v>
      </c>
      <c r="B52" s="207" t="s">
        <v>627</v>
      </c>
      <c r="C52" s="38" t="s">
        <v>628</v>
      </c>
      <c r="D52" s="229"/>
      <c r="E52" s="241"/>
      <c r="F52" s="242"/>
      <c r="G52" s="243"/>
    </row>
    <row r="53" spans="1:7" ht="11.85" customHeight="1" x14ac:dyDescent="0.25">
      <c r="A53" s="424"/>
      <c r="B53" s="204"/>
      <c r="C53" s="205"/>
      <c r="D53" s="205"/>
      <c r="E53" s="425"/>
      <c r="F53" s="426"/>
      <c r="G53" s="205"/>
    </row>
    <row r="54" spans="1:7" ht="23.45" customHeight="1" x14ac:dyDescent="0.25">
      <c r="A54" s="246"/>
      <c r="B54" s="207" t="s">
        <v>629</v>
      </c>
      <c r="C54" s="218" t="s">
        <v>634</v>
      </c>
      <c r="D54" s="229"/>
      <c r="E54" s="241"/>
      <c r="F54" s="242"/>
      <c r="G54" s="243"/>
    </row>
    <row r="55" spans="1:7" ht="11.85" customHeight="1" x14ac:dyDescent="0.25">
      <c r="A55" s="424"/>
      <c r="B55" s="204"/>
      <c r="C55" s="205"/>
      <c r="D55" s="205"/>
      <c r="E55" s="425"/>
      <c r="F55" s="426"/>
      <c r="G55" s="205"/>
    </row>
    <row r="56" spans="1:7" ht="88.5" customHeight="1" x14ac:dyDescent="0.25">
      <c r="A56" s="227"/>
      <c r="B56" s="207"/>
      <c r="C56" s="212" t="s">
        <v>2192</v>
      </c>
      <c r="D56" s="229"/>
      <c r="E56" s="241"/>
      <c r="F56" s="242"/>
      <c r="G56" s="243"/>
    </row>
    <row r="57" spans="1:7" ht="11.85" customHeight="1" x14ac:dyDescent="0.25">
      <c r="A57" s="424"/>
      <c r="B57" s="204"/>
      <c r="C57" s="205"/>
      <c r="D57" s="205"/>
      <c r="E57" s="425"/>
      <c r="F57" s="426"/>
      <c r="G57" s="205"/>
    </row>
    <row r="58" spans="1:7" ht="11.85" customHeight="1" x14ac:dyDescent="0.25">
      <c r="A58" s="214" t="s">
        <v>1568</v>
      </c>
      <c r="B58" s="229"/>
      <c r="C58" s="233" t="s">
        <v>630</v>
      </c>
      <c r="D58" s="210" t="s">
        <v>6</v>
      </c>
      <c r="E58" s="241">
        <f>ROUND($E$6*65%,0)</f>
        <v>1335</v>
      </c>
      <c r="F58" s="242"/>
      <c r="G58" s="255"/>
    </row>
    <row r="59" spans="1:7" ht="11.85" customHeight="1" x14ac:dyDescent="0.25">
      <c r="A59" s="424"/>
      <c r="B59" s="204"/>
      <c r="C59" s="205"/>
      <c r="D59" s="205"/>
      <c r="E59" s="425"/>
      <c r="F59" s="426"/>
      <c r="G59" s="205"/>
    </row>
    <row r="60" spans="1:7" ht="11.85" customHeight="1" x14ac:dyDescent="0.25">
      <c r="A60" s="214" t="s">
        <v>1569</v>
      </c>
      <c r="B60" s="229"/>
      <c r="C60" s="233" t="s">
        <v>631</v>
      </c>
      <c r="D60" s="210" t="s">
        <v>6</v>
      </c>
      <c r="E60" s="241">
        <f>ROUND($E$6*35%,0)</f>
        <v>719</v>
      </c>
      <c r="F60" s="242"/>
      <c r="G60" s="255"/>
    </row>
    <row r="61" spans="1:7" ht="11.85" customHeight="1" x14ac:dyDescent="0.25">
      <c r="A61" s="424"/>
      <c r="B61" s="204"/>
      <c r="C61" s="205"/>
      <c r="D61" s="205"/>
      <c r="E61" s="425"/>
      <c r="F61" s="426"/>
      <c r="G61" s="205"/>
    </row>
    <row r="62" spans="1:7" ht="11.85" customHeight="1" x14ac:dyDescent="0.25">
      <c r="A62" s="227"/>
      <c r="B62" s="229"/>
      <c r="C62" s="257" t="s">
        <v>2193</v>
      </c>
      <c r="D62" s="229"/>
      <c r="E62" s="241"/>
      <c r="F62" s="242"/>
      <c r="G62" s="243"/>
    </row>
    <row r="63" spans="1:7" ht="11.85" customHeight="1" x14ac:dyDescent="0.25">
      <c r="A63" s="424"/>
      <c r="B63" s="204"/>
      <c r="C63" s="205"/>
      <c r="D63" s="205"/>
      <c r="E63" s="425"/>
      <c r="F63" s="426"/>
      <c r="G63" s="205"/>
    </row>
    <row r="64" spans="1:7" ht="11.85" customHeight="1" x14ac:dyDescent="0.25">
      <c r="A64" s="214" t="s">
        <v>1570</v>
      </c>
      <c r="B64" s="229"/>
      <c r="C64" s="233" t="s">
        <v>633</v>
      </c>
      <c r="D64" s="210" t="s">
        <v>88</v>
      </c>
      <c r="E64" s="241">
        <f>+(($E$58*1.25)+($E$60*2.5))*10%</f>
        <v>346.625</v>
      </c>
      <c r="F64" s="242"/>
      <c r="G64" s="255"/>
    </row>
    <row r="65" spans="1:7" ht="11.1" customHeight="1" x14ac:dyDescent="0.25">
      <c r="A65" s="424"/>
      <c r="B65" s="204"/>
      <c r="C65" s="205"/>
      <c r="D65" s="205"/>
      <c r="E65" s="425"/>
      <c r="F65" s="426"/>
      <c r="G65" s="205"/>
    </row>
    <row r="66" spans="1:7" ht="11.85" customHeight="1" x14ac:dyDescent="0.25">
      <c r="A66" s="214" t="s">
        <v>1571</v>
      </c>
      <c r="B66" s="229"/>
      <c r="C66" s="233" t="s">
        <v>632</v>
      </c>
      <c r="D66" s="210" t="s">
        <v>88</v>
      </c>
      <c r="E66" s="241">
        <f>+(($E$58*1.25)+($E$60*2.5))*1.5%</f>
        <v>51.993749999999999</v>
      </c>
      <c r="F66" s="242"/>
      <c r="G66" s="255"/>
    </row>
    <row r="67" spans="1:7" ht="11.1" customHeight="1" x14ac:dyDescent="0.25">
      <c r="A67" s="424"/>
      <c r="B67" s="204"/>
      <c r="C67" s="205"/>
      <c r="D67" s="205"/>
      <c r="E67" s="425"/>
      <c r="F67" s="426"/>
      <c r="G67" s="205"/>
    </row>
    <row r="68" spans="1:7" ht="11.85" customHeight="1" x14ac:dyDescent="0.25">
      <c r="A68" s="246"/>
      <c r="B68" s="207" t="s">
        <v>18</v>
      </c>
      <c r="C68" s="38" t="s">
        <v>635</v>
      </c>
      <c r="D68" s="229"/>
      <c r="E68" s="241"/>
      <c r="F68" s="242"/>
      <c r="G68" s="243"/>
    </row>
    <row r="69" spans="1:7" ht="11.1" customHeight="1" x14ac:dyDescent="0.25">
      <c r="A69" s="424"/>
      <c r="B69" s="204"/>
      <c r="C69" s="205"/>
      <c r="D69" s="205"/>
      <c r="E69" s="425"/>
      <c r="F69" s="426"/>
      <c r="G69" s="205"/>
    </row>
    <row r="70" spans="1:7" ht="24" x14ac:dyDescent="0.25">
      <c r="A70" s="214"/>
      <c r="B70" s="221" t="s">
        <v>156</v>
      </c>
      <c r="C70" s="212" t="s">
        <v>636</v>
      </c>
      <c r="D70" s="229"/>
      <c r="E70" s="241"/>
      <c r="F70" s="242"/>
      <c r="G70" s="243"/>
    </row>
    <row r="71" spans="1:7" ht="11.1" customHeight="1" x14ac:dyDescent="0.25">
      <c r="A71" s="424"/>
      <c r="B71" s="204"/>
      <c r="C71" s="205"/>
      <c r="D71" s="205"/>
      <c r="E71" s="425"/>
      <c r="F71" s="426"/>
      <c r="G71" s="205"/>
    </row>
    <row r="72" spans="1:7" ht="11.85" customHeight="1" x14ac:dyDescent="0.25">
      <c r="A72" s="214" t="s">
        <v>1572</v>
      </c>
      <c r="B72" s="229"/>
      <c r="C72" s="220" t="s">
        <v>637</v>
      </c>
      <c r="D72" s="210" t="s">
        <v>88</v>
      </c>
      <c r="E72" s="219">
        <f>+SUM($E$64:$E$66)*65%</f>
        <v>259.10218750000001</v>
      </c>
      <c r="F72" s="242"/>
      <c r="G72" s="255"/>
    </row>
    <row r="73" spans="1:7" ht="11.1" customHeight="1" x14ac:dyDescent="0.25">
      <c r="A73" s="424"/>
      <c r="B73" s="204"/>
      <c r="C73" s="205"/>
      <c r="D73" s="205"/>
      <c r="E73" s="425"/>
      <c r="F73" s="426"/>
      <c r="G73" s="205"/>
    </row>
    <row r="74" spans="1:7" ht="11.85" customHeight="1" x14ac:dyDescent="0.25">
      <c r="A74" s="214" t="s">
        <v>1573</v>
      </c>
      <c r="B74" s="229"/>
      <c r="C74" s="220" t="s">
        <v>638</v>
      </c>
      <c r="D74" s="210" t="s">
        <v>88</v>
      </c>
      <c r="E74" s="219">
        <f>+SUM($E$64:$E$66)*30%</f>
        <v>119.58562499999999</v>
      </c>
      <c r="F74" s="242"/>
      <c r="G74" s="255"/>
    </row>
    <row r="75" spans="1:7" ht="11.1" customHeight="1" x14ac:dyDescent="0.25">
      <c r="A75" s="424"/>
      <c r="B75" s="204"/>
      <c r="C75" s="205"/>
      <c r="D75" s="205"/>
      <c r="E75" s="425"/>
      <c r="F75" s="426"/>
      <c r="G75" s="205"/>
    </row>
    <row r="76" spans="1:7" ht="24" x14ac:dyDescent="0.25">
      <c r="A76" s="214" t="s">
        <v>1574</v>
      </c>
      <c r="B76" s="229"/>
      <c r="C76" s="119" t="s">
        <v>639</v>
      </c>
      <c r="D76" s="210" t="s">
        <v>88</v>
      </c>
      <c r="E76" s="219">
        <v>10</v>
      </c>
      <c r="F76" s="242"/>
      <c r="G76" s="255"/>
    </row>
    <row r="77" spans="1:7" ht="11.1" customHeight="1" x14ac:dyDescent="0.25">
      <c r="A77" s="424"/>
      <c r="B77" s="204"/>
      <c r="C77" s="205"/>
      <c r="D77" s="205"/>
      <c r="E77" s="425"/>
      <c r="F77" s="426"/>
      <c r="G77" s="205"/>
    </row>
    <row r="78" spans="1:7" x14ac:dyDescent="0.25">
      <c r="A78" s="246"/>
      <c r="B78" s="207" t="s">
        <v>83</v>
      </c>
      <c r="C78" s="38" t="s">
        <v>649</v>
      </c>
      <c r="D78" s="210"/>
      <c r="E78" s="219"/>
      <c r="F78" s="242"/>
      <c r="G78" s="255"/>
    </row>
    <row r="79" spans="1:7" ht="11.1" customHeight="1" x14ac:dyDescent="0.25">
      <c r="A79" s="424"/>
      <c r="B79" s="204"/>
      <c r="C79" s="205"/>
      <c r="D79" s="205"/>
      <c r="E79" s="425"/>
      <c r="F79" s="426"/>
      <c r="G79" s="205"/>
    </row>
    <row r="80" spans="1:7" ht="36" x14ac:dyDescent="0.25">
      <c r="A80" s="246"/>
      <c r="B80" s="210"/>
      <c r="C80" s="212" t="s">
        <v>650</v>
      </c>
      <c r="D80" s="210"/>
      <c r="E80" s="219"/>
      <c r="F80" s="242"/>
      <c r="G80" s="255"/>
    </row>
    <row r="81" spans="1:7" ht="11.1" customHeight="1" x14ac:dyDescent="0.25">
      <c r="A81" s="424"/>
      <c r="B81" s="204"/>
      <c r="C81" s="205"/>
      <c r="D81" s="205"/>
      <c r="E81" s="425"/>
      <c r="F81" s="426"/>
      <c r="G81" s="205"/>
    </row>
    <row r="82" spans="1:7" x14ac:dyDescent="0.25">
      <c r="A82" s="214" t="s">
        <v>1575</v>
      </c>
      <c r="B82" s="210"/>
      <c r="C82" s="119" t="s">
        <v>652</v>
      </c>
      <c r="D82" s="210" t="s">
        <v>6</v>
      </c>
      <c r="E82" s="219">
        <v>40</v>
      </c>
      <c r="F82" s="242"/>
      <c r="G82" s="255"/>
    </row>
    <row r="83" spans="1:7" ht="11.1" customHeight="1" x14ac:dyDescent="0.25">
      <c r="A83" s="424"/>
      <c r="B83" s="204"/>
      <c r="C83" s="205"/>
      <c r="D83" s="205"/>
      <c r="E83" s="425"/>
      <c r="F83" s="426"/>
      <c r="G83" s="205"/>
    </row>
    <row r="84" spans="1:7" x14ac:dyDescent="0.25">
      <c r="A84" s="214" t="s">
        <v>1576</v>
      </c>
      <c r="B84" s="210"/>
      <c r="C84" s="119" t="s">
        <v>651</v>
      </c>
      <c r="D84" s="210" t="s">
        <v>6</v>
      </c>
      <c r="E84" s="219">
        <v>20</v>
      </c>
      <c r="F84" s="242"/>
      <c r="G84" s="255"/>
    </row>
    <row r="85" spans="1:7" ht="11.1" customHeight="1" x14ac:dyDescent="0.25">
      <c r="A85" s="424"/>
      <c r="B85" s="204"/>
      <c r="C85" s="205"/>
      <c r="D85" s="205"/>
      <c r="E85" s="425"/>
      <c r="F85" s="426"/>
      <c r="G85" s="205"/>
    </row>
    <row r="86" spans="1:7" x14ac:dyDescent="0.25">
      <c r="A86" s="246"/>
      <c r="B86" s="210"/>
      <c r="C86" s="212" t="s">
        <v>653</v>
      </c>
      <c r="D86" s="210"/>
      <c r="E86" s="219"/>
      <c r="F86" s="242"/>
      <c r="G86" s="255"/>
    </row>
    <row r="87" spans="1:7" ht="11.1" customHeight="1" x14ac:dyDescent="0.25">
      <c r="A87" s="424"/>
      <c r="B87" s="204"/>
      <c r="C87" s="205"/>
      <c r="D87" s="205"/>
      <c r="E87" s="425"/>
      <c r="F87" s="426"/>
      <c r="G87" s="205"/>
    </row>
    <row r="88" spans="1:7" ht="24" x14ac:dyDescent="0.25">
      <c r="A88" s="214" t="s">
        <v>1577</v>
      </c>
      <c r="B88" s="210"/>
      <c r="C88" s="119" t="s">
        <v>654</v>
      </c>
      <c r="D88" s="210" t="s">
        <v>655</v>
      </c>
      <c r="E88" s="219">
        <f>+E90*2200*5%</f>
        <v>6352.5</v>
      </c>
      <c r="F88" s="241"/>
      <c r="G88" s="255"/>
    </row>
    <row r="89" spans="1:7" ht="11.1" customHeight="1" x14ac:dyDescent="0.25">
      <c r="A89" s="424"/>
      <c r="B89" s="204"/>
      <c r="C89" s="205"/>
      <c r="D89" s="205"/>
      <c r="E89" s="425"/>
      <c r="F89" s="426"/>
      <c r="G89" s="205"/>
    </row>
    <row r="90" spans="1:7" ht="48" x14ac:dyDescent="0.25">
      <c r="A90" s="214" t="s">
        <v>1578</v>
      </c>
      <c r="B90" s="210"/>
      <c r="C90" s="119" t="s">
        <v>656</v>
      </c>
      <c r="D90" s="210" t="s">
        <v>88</v>
      </c>
      <c r="E90" s="219">
        <f>E18*1.25</f>
        <v>57.749999999999993</v>
      </c>
      <c r="F90" s="242"/>
      <c r="G90" s="255"/>
    </row>
    <row r="91" spans="1:7" ht="11.1" customHeight="1" x14ac:dyDescent="0.25">
      <c r="A91" s="424"/>
      <c r="B91" s="204"/>
      <c r="C91" s="205"/>
      <c r="D91" s="205"/>
      <c r="E91" s="425"/>
      <c r="F91" s="426"/>
      <c r="G91" s="205"/>
    </row>
    <row r="92" spans="1:7" ht="28.5" customHeight="1" x14ac:dyDescent="0.25">
      <c r="A92" s="527" t="s">
        <v>609</v>
      </c>
      <c r="B92" s="527"/>
      <c r="C92" s="527"/>
      <c r="D92" s="527"/>
      <c r="E92" s="527"/>
      <c r="F92" s="527"/>
      <c r="G92" s="328"/>
    </row>
    <row r="93" spans="1:7" ht="28.5" customHeight="1" x14ac:dyDescent="0.25">
      <c r="A93" s="527" t="s">
        <v>610</v>
      </c>
      <c r="B93" s="527"/>
      <c r="C93" s="527"/>
      <c r="D93" s="527"/>
      <c r="E93" s="527"/>
      <c r="F93" s="527"/>
      <c r="G93" s="328"/>
    </row>
    <row r="94" spans="1:7" x14ac:dyDescent="0.25">
      <c r="A94" s="424"/>
      <c r="B94" s="204"/>
      <c r="C94" s="205"/>
      <c r="D94" s="205"/>
      <c r="E94" s="425"/>
      <c r="F94" s="426"/>
      <c r="G94" s="205"/>
    </row>
    <row r="95" spans="1:7" ht="36" x14ac:dyDescent="0.25">
      <c r="A95" s="214" t="s">
        <v>1579</v>
      </c>
      <c r="B95" s="210"/>
      <c r="C95" s="119" t="s">
        <v>657</v>
      </c>
      <c r="D95" s="210" t="s">
        <v>88</v>
      </c>
      <c r="E95" s="219">
        <f>E90</f>
        <v>57.749999999999993</v>
      </c>
      <c r="F95" s="242"/>
      <c r="G95" s="255"/>
    </row>
    <row r="96" spans="1:7" x14ac:dyDescent="0.25">
      <c r="A96" s="424"/>
      <c r="B96" s="204"/>
      <c r="C96" s="205"/>
      <c r="D96" s="205"/>
      <c r="E96" s="425"/>
      <c r="F96" s="426"/>
      <c r="G96" s="205"/>
    </row>
    <row r="97" spans="1:7" ht="24" x14ac:dyDescent="0.25">
      <c r="A97" s="246"/>
      <c r="B97" s="210"/>
      <c r="C97" s="258" t="s">
        <v>658</v>
      </c>
      <c r="D97" s="210"/>
      <c r="E97" s="219"/>
      <c r="F97" s="242"/>
      <c r="G97" s="255"/>
    </row>
    <row r="98" spans="1:7" x14ac:dyDescent="0.25">
      <c r="A98" s="424"/>
      <c r="B98" s="204"/>
      <c r="C98" s="205"/>
      <c r="D98" s="205"/>
      <c r="E98" s="425"/>
      <c r="F98" s="426"/>
      <c r="G98" s="205"/>
    </row>
    <row r="99" spans="1:7" x14ac:dyDescent="0.25">
      <c r="A99" s="214" t="s">
        <v>1580</v>
      </c>
      <c r="B99" s="210"/>
      <c r="C99" s="119" t="s">
        <v>659</v>
      </c>
      <c r="D99" s="210" t="s">
        <v>6</v>
      </c>
      <c r="E99" s="219">
        <v>12</v>
      </c>
      <c r="F99" s="242"/>
      <c r="G99" s="255"/>
    </row>
    <row r="100" spans="1:7" x14ac:dyDescent="0.25">
      <c r="A100" s="424"/>
      <c r="B100" s="204"/>
      <c r="C100" s="205"/>
      <c r="D100" s="205"/>
      <c r="E100" s="425"/>
      <c r="F100" s="426"/>
      <c r="G100" s="205"/>
    </row>
    <row r="101" spans="1:7" x14ac:dyDescent="0.25">
      <c r="A101" s="214" t="s">
        <v>1581</v>
      </c>
      <c r="B101" s="210"/>
      <c r="C101" s="119" t="s">
        <v>662</v>
      </c>
      <c r="D101" s="210" t="s">
        <v>6</v>
      </c>
      <c r="E101" s="219">
        <v>12</v>
      </c>
      <c r="F101" s="242"/>
      <c r="G101" s="255"/>
    </row>
    <row r="102" spans="1:7" x14ac:dyDescent="0.25">
      <c r="A102" s="424"/>
      <c r="B102" s="204"/>
      <c r="C102" s="205"/>
      <c r="D102" s="205"/>
      <c r="E102" s="425"/>
      <c r="F102" s="426"/>
      <c r="G102" s="205"/>
    </row>
    <row r="103" spans="1:7" x14ac:dyDescent="0.25">
      <c r="A103" s="214" t="s">
        <v>1582</v>
      </c>
      <c r="B103" s="210"/>
      <c r="C103" s="119" t="s">
        <v>661</v>
      </c>
      <c r="D103" s="210" t="s">
        <v>6</v>
      </c>
      <c r="E103" s="219">
        <f>12+10</f>
        <v>22</v>
      </c>
      <c r="F103" s="242"/>
      <c r="G103" s="255"/>
    </row>
    <row r="104" spans="1:7" x14ac:dyDescent="0.25">
      <c r="A104" s="424"/>
      <c r="B104" s="204"/>
      <c r="C104" s="205"/>
      <c r="D104" s="205"/>
      <c r="E104" s="425"/>
      <c r="F104" s="426"/>
      <c r="G104" s="205"/>
    </row>
    <row r="105" spans="1:7" ht="24" x14ac:dyDescent="0.25">
      <c r="A105" s="246"/>
      <c r="B105" s="207" t="s">
        <v>642</v>
      </c>
      <c r="C105" s="38" t="s">
        <v>640</v>
      </c>
      <c r="D105" s="210"/>
      <c r="E105" s="219"/>
      <c r="F105" s="242"/>
      <c r="G105" s="255"/>
    </row>
    <row r="106" spans="1:7" x14ac:dyDescent="0.25">
      <c r="A106" s="424"/>
      <c r="B106" s="204"/>
      <c r="C106" s="205"/>
      <c r="D106" s="205"/>
      <c r="E106" s="425"/>
      <c r="F106" s="426"/>
      <c r="G106" s="205"/>
    </row>
    <row r="107" spans="1:7" x14ac:dyDescent="0.25">
      <c r="A107" s="214" t="s">
        <v>1583</v>
      </c>
      <c r="B107" s="229"/>
      <c r="C107" s="119" t="s">
        <v>641</v>
      </c>
      <c r="D107" s="210" t="s">
        <v>8</v>
      </c>
      <c r="E107" s="219">
        <v>60</v>
      </c>
      <c r="F107" s="242"/>
      <c r="G107" s="255"/>
    </row>
    <row r="108" spans="1:7" x14ac:dyDescent="0.25">
      <c r="A108" s="424"/>
      <c r="B108" s="204"/>
      <c r="C108" s="205"/>
      <c r="D108" s="205"/>
      <c r="E108" s="425"/>
      <c r="F108" s="426"/>
      <c r="G108" s="205"/>
    </row>
    <row r="109" spans="1:7" x14ac:dyDescent="0.25">
      <c r="A109" s="214" t="s">
        <v>1584</v>
      </c>
      <c r="B109" s="229"/>
      <c r="C109" s="119" t="s">
        <v>643</v>
      </c>
      <c r="D109" s="210" t="s">
        <v>6</v>
      </c>
      <c r="E109" s="219">
        <v>100</v>
      </c>
      <c r="F109" s="242"/>
      <c r="G109" s="255"/>
    </row>
    <row r="110" spans="1:7" x14ac:dyDescent="0.25">
      <c r="A110" s="424"/>
      <c r="B110" s="204"/>
      <c r="C110" s="205"/>
      <c r="D110" s="205"/>
      <c r="E110" s="425"/>
      <c r="F110" s="426"/>
      <c r="G110" s="205"/>
    </row>
    <row r="111" spans="1:7" x14ac:dyDescent="0.25">
      <c r="A111" s="246"/>
      <c r="B111" s="207" t="s">
        <v>288</v>
      </c>
      <c r="C111" s="38" t="s">
        <v>644</v>
      </c>
      <c r="D111" s="210"/>
      <c r="E111" s="219"/>
      <c r="F111" s="242"/>
      <c r="G111" s="255"/>
    </row>
    <row r="112" spans="1:7" x14ac:dyDescent="0.25">
      <c r="A112" s="424"/>
      <c r="B112" s="204"/>
      <c r="C112" s="205"/>
      <c r="D112" s="205"/>
      <c r="E112" s="425"/>
      <c r="F112" s="426"/>
      <c r="G112" s="205"/>
    </row>
    <row r="113" spans="1:7" ht="24" x14ac:dyDescent="0.25">
      <c r="A113" s="214" t="s">
        <v>1585</v>
      </c>
      <c r="B113" s="210" t="s">
        <v>645</v>
      </c>
      <c r="C113" s="119" t="s">
        <v>646</v>
      </c>
      <c r="D113" s="210" t="s">
        <v>87</v>
      </c>
      <c r="E113" s="219">
        <f>E18</f>
        <v>46.199999999999996</v>
      </c>
      <c r="F113" s="242"/>
      <c r="G113" s="255"/>
    </row>
    <row r="114" spans="1:7" x14ac:dyDescent="0.25">
      <c r="A114" s="424"/>
      <c r="B114" s="204"/>
      <c r="C114" s="205"/>
      <c r="D114" s="205"/>
      <c r="E114" s="425"/>
      <c r="F114" s="426"/>
      <c r="G114" s="205"/>
    </row>
    <row r="115" spans="1:7" x14ac:dyDescent="0.25">
      <c r="A115" s="246"/>
      <c r="B115" s="229"/>
      <c r="C115" s="212" t="s">
        <v>663</v>
      </c>
      <c r="D115" s="210"/>
      <c r="E115" s="219"/>
      <c r="F115" s="242"/>
      <c r="G115" s="255"/>
    </row>
    <row r="116" spans="1:7" x14ac:dyDescent="0.25">
      <c r="A116" s="424"/>
      <c r="B116" s="204"/>
      <c r="C116" s="205"/>
      <c r="D116" s="205"/>
      <c r="E116" s="425"/>
      <c r="F116" s="426"/>
      <c r="G116" s="205"/>
    </row>
    <row r="117" spans="1:7" ht="36" x14ac:dyDescent="0.25">
      <c r="A117" s="214" t="s">
        <v>1586</v>
      </c>
      <c r="B117" s="229"/>
      <c r="C117" s="119" t="s">
        <v>647</v>
      </c>
      <c r="D117" s="210" t="s">
        <v>88</v>
      </c>
      <c r="E117" s="219">
        <f>ROUND(E113*0.3,1)</f>
        <v>13.9</v>
      </c>
      <c r="F117" s="242"/>
      <c r="G117" s="255"/>
    </row>
    <row r="118" spans="1:7" x14ac:dyDescent="0.25">
      <c r="A118" s="424"/>
      <c r="B118" s="204"/>
      <c r="C118" s="205"/>
      <c r="D118" s="205"/>
      <c r="E118" s="425"/>
      <c r="F118" s="426"/>
      <c r="G118" s="205"/>
    </row>
    <row r="119" spans="1:7" ht="36" x14ac:dyDescent="0.25">
      <c r="A119" s="214" t="s">
        <v>1587</v>
      </c>
      <c r="B119" s="229"/>
      <c r="C119" s="119" t="s">
        <v>648</v>
      </c>
      <c r="D119" s="210" t="s">
        <v>88</v>
      </c>
      <c r="E119" s="219">
        <f>E117</f>
        <v>13.9</v>
      </c>
      <c r="F119" s="242"/>
      <c r="G119" s="255"/>
    </row>
    <row r="120" spans="1:7" x14ac:dyDescent="0.25">
      <c r="A120" s="424"/>
      <c r="B120" s="204"/>
      <c r="C120" s="205"/>
      <c r="D120" s="205"/>
      <c r="E120" s="425"/>
      <c r="F120" s="426"/>
      <c r="G120" s="205"/>
    </row>
    <row r="121" spans="1:7" ht="36" x14ac:dyDescent="0.25">
      <c r="A121" s="214" t="s">
        <v>1588</v>
      </c>
      <c r="B121" s="229"/>
      <c r="C121" s="119" t="s">
        <v>664</v>
      </c>
      <c r="D121" s="210" t="s">
        <v>88</v>
      </c>
      <c r="E121" s="219">
        <f>E119</f>
        <v>13.9</v>
      </c>
      <c r="F121" s="242"/>
      <c r="G121" s="255"/>
    </row>
    <row r="122" spans="1:7" x14ac:dyDescent="0.25">
      <c r="A122" s="424"/>
      <c r="B122" s="204"/>
      <c r="C122" s="205"/>
      <c r="D122" s="205"/>
      <c r="E122" s="425"/>
      <c r="F122" s="426"/>
      <c r="G122" s="205"/>
    </row>
    <row r="123" spans="1:7" x14ac:dyDescent="0.25">
      <c r="A123" s="246"/>
      <c r="B123" s="229"/>
      <c r="C123" s="119"/>
      <c r="D123" s="210"/>
      <c r="E123" s="219"/>
      <c r="F123" s="242"/>
      <c r="G123" s="255"/>
    </row>
    <row r="124" spans="1:7" x14ac:dyDescent="0.25">
      <c r="A124" s="424"/>
      <c r="B124" s="204"/>
      <c r="C124" s="205"/>
      <c r="D124" s="205"/>
      <c r="E124" s="425"/>
      <c r="F124" s="426"/>
      <c r="G124" s="205"/>
    </row>
    <row r="125" spans="1:7" x14ac:dyDescent="0.25">
      <c r="A125" s="246"/>
      <c r="B125" s="229"/>
      <c r="C125" s="119"/>
      <c r="D125" s="210"/>
      <c r="E125" s="219"/>
      <c r="F125" s="242"/>
      <c r="G125" s="255"/>
    </row>
    <row r="126" spans="1:7" x14ac:dyDescent="0.25">
      <c r="A126" s="424"/>
      <c r="B126" s="204"/>
      <c r="C126" s="205"/>
      <c r="D126" s="205"/>
      <c r="E126" s="425"/>
      <c r="F126" s="426"/>
      <c r="G126" s="205"/>
    </row>
    <row r="127" spans="1:7" x14ac:dyDescent="0.25">
      <c r="A127" s="246"/>
      <c r="B127" s="229"/>
      <c r="C127" s="119"/>
      <c r="D127" s="210"/>
      <c r="E127" s="219"/>
      <c r="F127" s="242"/>
      <c r="G127" s="255"/>
    </row>
    <row r="128" spans="1:7" x14ac:dyDescent="0.25">
      <c r="A128" s="424"/>
      <c r="B128" s="204"/>
      <c r="C128" s="205"/>
      <c r="D128" s="205"/>
      <c r="E128" s="425"/>
      <c r="F128" s="426"/>
      <c r="G128" s="205"/>
    </row>
    <row r="129" spans="1:7" x14ac:dyDescent="0.25">
      <c r="A129" s="246"/>
      <c r="B129" s="229"/>
      <c r="C129" s="119"/>
      <c r="D129" s="210"/>
      <c r="E129" s="219"/>
      <c r="F129" s="242"/>
      <c r="G129" s="255"/>
    </row>
    <row r="130" spans="1:7" x14ac:dyDescent="0.25">
      <c r="A130" s="424"/>
      <c r="B130" s="204"/>
      <c r="C130" s="205"/>
      <c r="D130" s="205"/>
      <c r="E130" s="425"/>
      <c r="F130" s="426"/>
      <c r="G130" s="205"/>
    </row>
    <row r="131" spans="1:7" x14ac:dyDescent="0.25">
      <c r="A131" s="246"/>
      <c r="B131" s="229"/>
      <c r="C131" s="119"/>
      <c r="D131" s="210"/>
      <c r="E131" s="219"/>
      <c r="F131" s="242"/>
      <c r="G131" s="255"/>
    </row>
    <row r="132" spans="1:7" x14ac:dyDescent="0.25">
      <c r="A132" s="424"/>
      <c r="B132" s="204"/>
      <c r="C132" s="205"/>
      <c r="D132" s="205"/>
      <c r="E132" s="425"/>
      <c r="F132" s="426"/>
      <c r="G132" s="205"/>
    </row>
    <row r="133" spans="1:7" x14ac:dyDescent="0.25">
      <c r="A133" s="246"/>
      <c r="B133" s="229"/>
      <c r="C133" s="119"/>
      <c r="D133" s="210"/>
      <c r="E133" s="219"/>
      <c r="F133" s="242"/>
      <c r="G133" s="255"/>
    </row>
    <row r="134" spans="1:7" x14ac:dyDescent="0.25">
      <c r="A134" s="424"/>
      <c r="B134" s="204"/>
      <c r="C134" s="205"/>
      <c r="D134" s="205"/>
      <c r="E134" s="425"/>
      <c r="F134" s="426"/>
      <c r="G134" s="205"/>
    </row>
    <row r="135" spans="1:7" x14ac:dyDescent="0.25">
      <c r="A135" s="246"/>
      <c r="B135" s="229"/>
      <c r="C135" s="119"/>
      <c r="D135" s="210"/>
      <c r="E135" s="219"/>
      <c r="F135" s="242"/>
      <c r="G135" s="255"/>
    </row>
    <row r="136" spans="1:7" ht="10.5" customHeight="1" x14ac:dyDescent="0.25">
      <c r="A136" s="424"/>
      <c r="B136" s="204"/>
      <c r="C136" s="205"/>
      <c r="D136" s="205"/>
      <c r="E136" s="425"/>
      <c r="F136" s="426"/>
      <c r="G136" s="205"/>
    </row>
    <row r="137" spans="1:7" ht="28.5" customHeight="1" x14ac:dyDescent="0.25">
      <c r="A137" s="539" t="s">
        <v>1590</v>
      </c>
      <c r="B137" s="528"/>
      <c r="C137" s="528"/>
      <c r="D137" s="528"/>
      <c r="E137" s="528"/>
      <c r="F137" s="529"/>
      <c r="G137" s="331"/>
    </row>
    <row r="138" spans="1:7" ht="9.9499999999999993" customHeight="1" x14ac:dyDescent="0.25">
      <c r="A138" s="424"/>
      <c r="B138" s="204"/>
      <c r="C138" s="205"/>
      <c r="D138" s="205"/>
      <c r="E138" s="425"/>
      <c r="F138" s="426"/>
      <c r="G138" s="205"/>
    </row>
    <row r="139" spans="1:7" ht="24" x14ac:dyDescent="0.25">
      <c r="A139" s="227" t="s">
        <v>461</v>
      </c>
      <c r="B139" s="207" t="s">
        <v>3</v>
      </c>
      <c r="C139" s="218" t="s">
        <v>4</v>
      </c>
      <c r="D139" s="210"/>
      <c r="E139" s="219"/>
      <c r="F139" s="242"/>
      <c r="G139" s="255"/>
    </row>
    <row r="140" spans="1:7" ht="9.9499999999999993" customHeight="1" x14ac:dyDescent="0.25">
      <c r="A140" s="424"/>
      <c r="B140" s="204"/>
      <c r="C140" s="205"/>
      <c r="D140" s="205"/>
      <c r="E140" s="425"/>
      <c r="F140" s="426"/>
      <c r="G140" s="205"/>
    </row>
    <row r="141" spans="1:7" ht="24" x14ac:dyDescent="0.25">
      <c r="A141" s="227" t="s">
        <v>667</v>
      </c>
      <c r="B141" s="207" t="s">
        <v>665</v>
      </c>
      <c r="C141" s="218" t="s">
        <v>666</v>
      </c>
      <c r="D141" s="210"/>
      <c r="E141" s="219"/>
      <c r="F141" s="242"/>
      <c r="G141" s="255"/>
    </row>
    <row r="142" spans="1:7" ht="9.9499999999999993" customHeight="1" x14ac:dyDescent="0.25">
      <c r="A142" s="424"/>
      <c r="B142" s="204"/>
      <c r="C142" s="205"/>
      <c r="D142" s="205"/>
      <c r="E142" s="425"/>
      <c r="F142" s="426"/>
      <c r="G142" s="205"/>
    </row>
    <row r="143" spans="1:7" ht="24" x14ac:dyDescent="0.25">
      <c r="A143" s="214" t="s">
        <v>679</v>
      </c>
      <c r="B143" s="229"/>
      <c r="C143" s="119" t="s">
        <v>668</v>
      </c>
      <c r="D143" s="210" t="s">
        <v>6</v>
      </c>
      <c r="E143" s="219">
        <f>+ROUNDUP((213+211+115)*110%,0)</f>
        <v>593</v>
      </c>
      <c r="F143" s="242"/>
      <c r="G143" s="452"/>
    </row>
    <row r="144" spans="1:7" ht="9.9499999999999993" customHeight="1" x14ac:dyDescent="0.25">
      <c r="A144" s="424"/>
      <c r="B144" s="204"/>
      <c r="C144" s="205"/>
      <c r="D144" s="205"/>
      <c r="E144" s="425"/>
      <c r="F144" s="426"/>
      <c r="G144" s="204"/>
    </row>
    <row r="145" spans="1:7" ht="24" x14ac:dyDescent="0.25">
      <c r="A145" s="214" t="s">
        <v>680</v>
      </c>
      <c r="B145" s="229"/>
      <c r="C145" s="119" t="s">
        <v>669</v>
      </c>
      <c r="D145" s="210" t="s">
        <v>6</v>
      </c>
      <c r="E145" s="219">
        <f>+ROUNDUP(85*110%,0)</f>
        <v>94</v>
      </c>
      <c r="F145" s="242"/>
      <c r="G145" s="452"/>
    </row>
    <row r="146" spans="1:7" ht="9.9499999999999993" customHeight="1" x14ac:dyDescent="0.25">
      <c r="A146" s="424"/>
      <c r="B146" s="204"/>
      <c r="C146" s="205"/>
      <c r="D146" s="205"/>
      <c r="E146" s="425"/>
      <c r="F146" s="426"/>
      <c r="G146" s="204"/>
    </row>
    <row r="147" spans="1:7" ht="24" x14ac:dyDescent="0.25">
      <c r="A147" s="214" t="s">
        <v>681</v>
      </c>
      <c r="B147" s="229"/>
      <c r="C147" s="119" t="s">
        <v>2194</v>
      </c>
      <c r="D147" s="210" t="s">
        <v>6</v>
      </c>
      <c r="E147" s="241">
        <f>ROUNDUP((362+30)*110%,0)</f>
        <v>432</v>
      </c>
      <c r="F147" s="242"/>
      <c r="G147" s="452"/>
    </row>
    <row r="148" spans="1:7" ht="9.9499999999999993" customHeight="1" x14ac:dyDescent="0.25">
      <c r="A148" s="424"/>
      <c r="B148" s="204"/>
      <c r="C148" s="205"/>
      <c r="D148" s="205"/>
      <c r="E148" s="425"/>
      <c r="F148" s="426"/>
      <c r="G148" s="204"/>
    </row>
    <row r="149" spans="1:7" ht="24" x14ac:dyDescent="0.25">
      <c r="A149" s="214" t="s">
        <v>682</v>
      </c>
      <c r="B149" s="229"/>
      <c r="C149" s="119" t="s">
        <v>2195</v>
      </c>
      <c r="D149" s="210" t="s">
        <v>6</v>
      </c>
      <c r="E149" s="241">
        <f>ROUNDUP((176)*115%,0)</f>
        <v>203</v>
      </c>
      <c r="F149" s="242"/>
      <c r="G149" s="452"/>
    </row>
    <row r="150" spans="1:7" ht="9.9499999999999993" customHeight="1" x14ac:dyDescent="0.25">
      <c r="A150" s="467"/>
      <c r="B150" s="414"/>
      <c r="C150" s="254"/>
      <c r="D150" s="251"/>
      <c r="E150" s="427"/>
      <c r="F150" s="428"/>
      <c r="G150" s="468"/>
    </row>
    <row r="151" spans="1:7" ht="24" x14ac:dyDescent="0.25">
      <c r="A151" s="214" t="s">
        <v>683</v>
      </c>
      <c r="B151" s="229"/>
      <c r="C151" s="119" t="s">
        <v>2198</v>
      </c>
      <c r="D151" s="210" t="s">
        <v>6</v>
      </c>
      <c r="E151" s="241">
        <f>ROUND((59)*115%,0)</f>
        <v>68</v>
      </c>
      <c r="F151" s="242"/>
      <c r="G151" s="452"/>
    </row>
    <row r="152" spans="1:7" ht="9.9499999999999993" customHeight="1" x14ac:dyDescent="0.25">
      <c r="A152" s="424"/>
      <c r="B152" s="204"/>
      <c r="C152" s="205"/>
      <c r="D152" s="205"/>
      <c r="E152" s="425"/>
      <c r="F152" s="426"/>
      <c r="G152" s="204"/>
    </row>
    <row r="153" spans="1:7" ht="24" x14ac:dyDescent="0.25">
      <c r="A153" s="214" t="s">
        <v>2196</v>
      </c>
      <c r="B153" s="206"/>
      <c r="C153" s="119" t="s">
        <v>2200</v>
      </c>
      <c r="D153" s="210" t="s">
        <v>6</v>
      </c>
      <c r="E153" s="241">
        <f>ROUND((53+7+35)*115%,0)</f>
        <v>109</v>
      </c>
      <c r="F153" s="262"/>
      <c r="G153" s="452"/>
    </row>
    <row r="154" spans="1:7" ht="9.9499999999999993" customHeight="1" x14ac:dyDescent="0.25">
      <c r="A154" s="424"/>
      <c r="B154" s="204"/>
      <c r="C154" s="205"/>
      <c r="D154" s="205"/>
      <c r="E154" s="425"/>
      <c r="F154" s="426"/>
      <c r="G154" s="204"/>
    </row>
    <row r="155" spans="1:7" ht="24" x14ac:dyDescent="0.25">
      <c r="A155" s="214" t="s">
        <v>2197</v>
      </c>
      <c r="B155" s="229"/>
      <c r="C155" s="119" t="s">
        <v>2199</v>
      </c>
      <c r="D155" s="210" t="s">
        <v>6</v>
      </c>
      <c r="E155" s="241">
        <f>ROUND((8+50+55+35+18+57+1+14+18+27+200)*115%,0)</f>
        <v>555</v>
      </c>
      <c r="F155" s="242"/>
      <c r="G155" s="452"/>
    </row>
    <row r="156" spans="1:7" ht="9.9499999999999993" customHeight="1" x14ac:dyDescent="0.25">
      <c r="A156" s="338"/>
      <c r="B156" s="414"/>
      <c r="C156" s="254"/>
      <c r="D156" s="251"/>
      <c r="E156" s="427"/>
      <c r="F156" s="428"/>
      <c r="G156" s="252"/>
    </row>
    <row r="157" spans="1:7" ht="36" customHeight="1" x14ac:dyDescent="0.25">
      <c r="A157" s="227" t="s">
        <v>684</v>
      </c>
      <c r="B157" s="207" t="s">
        <v>7</v>
      </c>
      <c r="C157" s="38" t="s">
        <v>671</v>
      </c>
      <c r="D157" s="210"/>
      <c r="E157" s="241"/>
      <c r="F157" s="242"/>
      <c r="G157" s="255"/>
    </row>
    <row r="158" spans="1:7" ht="9.9499999999999993" customHeight="1" x14ac:dyDescent="0.25">
      <c r="A158" s="338"/>
      <c r="B158" s="414"/>
      <c r="C158" s="254"/>
      <c r="D158" s="251"/>
      <c r="E158" s="427"/>
      <c r="F158" s="428"/>
      <c r="G158" s="252"/>
    </row>
    <row r="159" spans="1:7" ht="24" x14ac:dyDescent="0.25">
      <c r="A159" s="214"/>
      <c r="B159" s="229"/>
      <c r="C159" s="257" t="s">
        <v>672</v>
      </c>
      <c r="D159" s="210"/>
      <c r="E159" s="241"/>
      <c r="F159" s="242"/>
      <c r="G159" s="255"/>
    </row>
    <row r="160" spans="1:7" ht="9.9499999999999993" customHeight="1" x14ac:dyDescent="0.25">
      <c r="A160" s="338"/>
      <c r="B160" s="414"/>
      <c r="C160" s="254"/>
      <c r="D160" s="251"/>
      <c r="E160" s="427"/>
      <c r="F160" s="428"/>
      <c r="G160" s="252"/>
    </row>
    <row r="161" spans="1:7" x14ac:dyDescent="0.25">
      <c r="A161" s="214" t="s">
        <v>685</v>
      </c>
      <c r="B161" s="229"/>
      <c r="C161" s="119" t="s">
        <v>673</v>
      </c>
      <c r="D161" s="210" t="s">
        <v>8</v>
      </c>
      <c r="E161" s="241">
        <v>12</v>
      </c>
      <c r="F161" s="242"/>
      <c r="G161" s="255"/>
    </row>
    <row r="162" spans="1:7" ht="9.9499999999999993" customHeight="1" x14ac:dyDescent="0.25">
      <c r="A162" s="338"/>
      <c r="B162" s="414"/>
      <c r="C162" s="254"/>
      <c r="D162" s="251"/>
      <c r="E162" s="427"/>
      <c r="F162" s="428"/>
      <c r="G162" s="252"/>
    </row>
    <row r="163" spans="1:7" x14ac:dyDescent="0.25">
      <c r="A163" s="214" t="s">
        <v>686</v>
      </c>
      <c r="B163" s="229"/>
      <c r="C163" s="119" t="s">
        <v>674</v>
      </c>
      <c r="D163" s="210" t="s">
        <v>8</v>
      </c>
      <c r="E163" s="241">
        <v>6</v>
      </c>
      <c r="F163" s="242"/>
      <c r="G163" s="255"/>
    </row>
    <row r="164" spans="1:7" ht="9.9499999999999993" customHeight="1" x14ac:dyDescent="0.25">
      <c r="A164" s="338"/>
      <c r="B164" s="414"/>
      <c r="C164" s="254"/>
      <c r="D164" s="251"/>
      <c r="E164" s="427"/>
      <c r="F164" s="428"/>
      <c r="G164" s="252"/>
    </row>
    <row r="165" spans="1:7" x14ac:dyDescent="0.25">
      <c r="A165" s="214" t="s">
        <v>687</v>
      </c>
      <c r="B165" s="229"/>
      <c r="C165" s="119" t="s">
        <v>675</v>
      </c>
      <c r="D165" s="210" t="s">
        <v>8</v>
      </c>
      <c r="E165" s="241">
        <v>1</v>
      </c>
      <c r="F165" s="242"/>
      <c r="G165" s="255"/>
    </row>
    <row r="166" spans="1:7" ht="9.9499999999999993" customHeight="1" x14ac:dyDescent="0.25">
      <c r="A166" s="338"/>
      <c r="B166" s="414"/>
      <c r="C166" s="254"/>
      <c r="D166" s="251"/>
      <c r="E166" s="427"/>
      <c r="F166" s="428"/>
      <c r="G166" s="252"/>
    </row>
    <row r="167" spans="1:7" x14ac:dyDescent="0.25">
      <c r="A167" s="214" t="s">
        <v>688</v>
      </c>
      <c r="B167" s="229"/>
      <c r="C167" s="119" t="s">
        <v>676</v>
      </c>
      <c r="D167" s="210" t="s">
        <v>8</v>
      </c>
      <c r="E167" s="241">
        <v>1</v>
      </c>
      <c r="F167" s="242"/>
      <c r="G167" s="255"/>
    </row>
    <row r="168" spans="1:7" ht="9.9499999999999993" customHeight="1" x14ac:dyDescent="0.25">
      <c r="A168" s="338"/>
      <c r="B168" s="414"/>
      <c r="C168" s="254"/>
      <c r="D168" s="251"/>
      <c r="E168" s="427"/>
      <c r="F168" s="428"/>
      <c r="G168" s="252"/>
    </row>
    <row r="169" spans="1:7" x14ac:dyDescent="0.25">
      <c r="A169" s="214" t="s">
        <v>689</v>
      </c>
      <c r="B169" s="229"/>
      <c r="C169" s="119" t="s">
        <v>677</v>
      </c>
      <c r="D169" s="210" t="s">
        <v>8</v>
      </c>
      <c r="E169" s="241">
        <v>3</v>
      </c>
      <c r="F169" s="242"/>
      <c r="G169" s="255"/>
    </row>
    <row r="170" spans="1:7" ht="9.9499999999999993" customHeight="1" x14ac:dyDescent="0.25">
      <c r="A170" s="338"/>
      <c r="B170" s="414"/>
      <c r="C170" s="254"/>
      <c r="D170" s="251"/>
      <c r="E170" s="427"/>
      <c r="F170" s="428"/>
      <c r="G170" s="252"/>
    </row>
    <row r="171" spans="1:7" x14ac:dyDescent="0.25">
      <c r="A171" s="214" t="s">
        <v>690</v>
      </c>
      <c r="B171" s="229"/>
      <c r="C171" s="119" t="s">
        <v>678</v>
      </c>
      <c r="D171" s="210" t="s">
        <v>8</v>
      </c>
      <c r="E171" s="241">
        <v>4</v>
      </c>
      <c r="F171" s="242"/>
      <c r="G171" s="255"/>
    </row>
    <row r="172" spans="1:7" ht="9.9499999999999993" customHeight="1" x14ac:dyDescent="0.25">
      <c r="A172" s="338"/>
      <c r="B172" s="414"/>
      <c r="C172" s="254"/>
      <c r="D172" s="251"/>
      <c r="E172" s="427"/>
      <c r="F172" s="428"/>
      <c r="G172" s="252"/>
    </row>
    <row r="173" spans="1:7" ht="36" x14ac:dyDescent="0.25">
      <c r="A173" s="214"/>
      <c r="B173" s="229"/>
      <c r="C173" s="257" t="s">
        <v>694</v>
      </c>
      <c r="D173" s="210"/>
      <c r="E173" s="241"/>
      <c r="F173" s="242"/>
      <c r="G173" s="255"/>
    </row>
    <row r="174" spans="1:7" ht="9.9499999999999993" customHeight="1" x14ac:dyDescent="0.25">
      <c r="A174" s="338"/>
      <c r="B174" s="414"/>
      <c r="C174" s="254"/>
      <c r="D174" s="251"/>
      <c r="E174" s="427"/>
      <c r="F174" s="428"/>
      <c r="G174" s="252"/>
    </row>
    <row r="175" spans="1:7" x14ac:dyDescent="0.25">
      <c r="A175" s="214" t="s">
        <v>691</v>
      </c>
      <c r="B175" s="229"/>
      <c r="C175" s="119" t="s">
        <v>695</v>
      </c>
      <c r="D175" s="210" t="s">
        <v>8</v>
      </c>
      <c r="E175" s="241">
        <v>4</v>
      </c>
      <c r="F175" s="242"/>
      <c r="G175" s="255"/>
    </row>
    <row r="176" spans="1:7" ht="9.9499999999999993" customHeight="1" x14ac:dyDescent="0.25">
      <c r="A176" s="338"/>
      <c r="B176" s="414"/>
      <c r="C176" s="254"/>
      <c r="D176" s="251"/>
      <c r="E176" s="427"/>
      <c r="F176" s="428"/>
      <c r="G176" s="252"/>
    </row>
    <row r="177" spans="1:7" x14ac:dyDescent="0.25">
      <c r="A177" s="214" t="s">
        <v>692</v>
      </c>
      <c r="B177" s="229"/>
      <c r="C177" s="119" t="s">
        <v>696</v>
      </c>
      <c r="D177" s="210" t="s">
        <v>8</v>
      </c>
      <c r="E177" s="241">
        <v>3</v>
      </c>
      <c r="F177" s="242"/>
      <c r="G177" s="255"/>
    </row>
    <row r="178" spans="1:7" ht="9.9499999999999993" customHeight="1" x14ac:dyDescent="0.25">
      <c r="A178" s="338"/>
      <c r="B178" s="414"/>
      <c r="C178" s="254"/>
      <c r="D178" s="251"/>
      <c r="E178" s="427"/>
      <c r="F178" s="428"/>
      <c r="G178" s="252"/>
    </row>
    <row r="179" spans="1:7" x14ac:dyDescent="0.25">
      <c r="A179" s="214" t="s">
        <v>693</v>
      </c>
      <c r="B179" s="229"/>
      <c r="C179" s="119" t="s">
        <v>697</v>
      </c>
      <c r="D179" s="210" t="s">
        <v>8</v>
      </c>
      <c r="E179" s="241">
        <v>2</v>
      </c>
      <c r="F179" s="242"/>
      <c r="G179" s="255"/>
    </row>
    <row r="180" spans="1:7" ht="9.9499999999999993" customHeight="1" x14ac:dyDescent="0.25">
      <c r="A180" s="338"/>
      <c r="B180" s="414"/>
      <c r="C180" s="254"/>
      <c r="D180" s="251"/>
      <c r="E180" s="427"/>
      <c r="F180" s="428"/>
      <c r="G180" s="252"/>
    </row>
    <row r="181" spans="1:7" x14ac:dyDescent="0.25">
      <c r="A181" s="214" t="s">
        <v>699</v>
      </c>
      <c r="B181" s="229"/>
      <c r="C181" s="119" t="s">
        <v>698</v>
      </c>
      <c r="D181" s="210" t="s">
        <v>8</v>
      </c>
      <c r="E181" s="241">
        <v>2</v>
      </c>
      <c r="F181" s="242"/>
      <c r="G181" s="255"/>
    </row>
    <row r="182" spans="1:7" ht="9.9499999999999993" customHeight="1" x14ac:dyDescent="0.25">
      <c r="A182" s="338"/>
      <c r="B182" s="414"/>
      <c r="C182" s="254"/>
      <c r="D182" s="251"/>
      <c r="E182" s="427"/>
      <c r="F182" s="428"/>
      <c r="G182" s="252"/>
    </row>
    <row r="183" spans="1:7" ht="28.5" customHeight="1" x14ac:dyDescent="0.25">
      <c r="A183" s="527" t="s">
        <v>609</v>
      </c>
      <c r="B183" s="527"/>
      <c r="C183" s="527"/>
      <c r="D183" s="527"/>
      <c r="E183" s="527"/>
      <c r="F183" s="527"/>
      <c r="G183" s="328"/>
    </row>
    <row r="184" spans="1:7" ht="28.5" customHeight="1" x14ac:dyDescent="0.25">
      <c r="A184" s="527" t="s">
        <v>610</v>
      </c>
      <c r="B184" s="527"/>
      <c r="C184" s="527"/>
      <c r="D184" s="527"/>
      <c r="E184" s="527"/>
      <c r="F184" s="527"/>
      <c r="G184" s="328"/>
    </row>
    <row r="185" spans="1:7" x14ac:dyDescent="0.25">
      <c r="A185" s="338"/>
      <c r="B185" s="414"/>
      <c r="C185" s="254"/>
      <c r="D185" s="251"/>
      <c r="E185" s="427"/>
      <c r="F185" s="428"/>
      <c r="G185" s="252"/>
    </row>
    <row r="186" spans="1:7" ht="24" x14ac:dyDescent="0.25">
      <c r="A186" s="246"/>
      <c r="B186" s="229"/>
      <c r="C186" s="212" t="s">
        <v>2381</v>
      </c>
      <c r="D186" s="210"/>
      <c r="E186" s="241"/>
      <c r="F186" s="242"/>
      <c r="G186" s="255"/>
    </row>
    <row r="187" spans="1:7" x14ac:dyDescent="0.25">
      <c r="A187" s="338"/>
      <c r="B187" s="414"/>
      <c r="C187" s="254"/>
      <c r="D187" s="251"/>
      <c r="E187" s="427"/>
      <c r="F187" s="428"/>
      <c r="G187" s="252"/>
    </row>
    <row r="188" spans="1:7" x14ac:dyDescent="0.25">
      <c r="A188" s="214" t="s">
        <v>700</v>
      </c>
      <c r="B188" s="229"/>
      <c r="C188" s="119" t="s">
        <v>2380</v>
      </c>
      <c r="D188" s="210" t="s">
        <v>8</v>
      </c>
      <c r="E188" s="241">
        <v>1</v>
      </c>
      <c r="F188" s="242"/>
      <c r="G188" s="255"/>
    </row>
    <row r="189" spans="1:7" x14ac:dyDescent="0.25">
      <c r="A189" s="338"/>
      <c r="B189" s="414"/>
      <c r="C189" s="254"/>
      <c r="D189" s="251"/>
      <c r="E189" s="427"/>
      <c r="F189" s="428"/>
      <c r="G189" s="252"/>
    </row>
    <row r="190" spans="1:7" x14ac:dyDescent="0.25">
      <c r="A190" s="249" t="s">
        <v>756</v>
      </c>
      <c r="B190" s="229"/>
      <c r="C190" s="119" t="s">
        <v>2375</v>
      </c>
      <c r="D190" s="210" t="s">
        <v>8</v>
      </c>
      <c r="E190" s="241">
        <f>1+1+1</f>
        <v>3</v>
      </c>
      <c r="F190" s="242"/>
      <c r="G190" s="255"/>
    </row>
    <row r="191" spans="1:7" x14ac:dyDescent="0.25">
      <c r="A191" s="338"/>
      <c r="B191" s="414"/>
      <c r="C191" s="254"/>
      <c r="D191" s="251"/>
      <c r="E191" s="427"/>
      <c r="F191" s="428"/>
      <c r="G191" s="252"/>
    </row>
    <row r="192" spans="1:7" x14ac:dyDescent="0.25">
      <c r="A192" s="249" t="s">
        <v>757</v>
      </c>
      <c r="B192" s="229"/>
      <c r="C192" s="119" t="s">
        <v>2377</v>
      </c>
      <c r="D192" s="210" t="s">
        <v>8</v>
      </c>
      <c r="E192" s="241">
        <v>1</v>
      </c>
      <c r="F192" s="242"/>
      <c r="G192" s="255"/>
    </row>
    <row r="193" spans="1:7" x14ac:dyDescent="0.25">
      <c r="A193" s="338"/>
      <c r="B193" s="414"/>
      <c r="C193" s="254"/>
      <c r="D193" s="251"/>
      <c r="E193" s="427"/>
      <c r="F193" s="428"/>
      <c r="G193" s="252"/>
    </row>
    <row r="194" spans="1:7" x14ac:dyDescent="0.25">
      <c r="A194" s="214" t="s">
        <v>763</v>
      </c>
      <c r="B194" s="229"/>
      <c r="C194" s="119" t="s">
        <v>2378</v>
      </c>
      <c r="D194" s="210" t="s">
        <v>8</v>
      </c>
      <c r="E194" s="241">
        <v>1</v>
      </c>
      <c r="F194" s="242"/>
      <c r="G194" s="255"/>
    </row>
    <row r="195" spans="1:7" x14ac:dyDescent="0.25">
      <c r="A195" s="338"/>
      <c r="B195" s="414"/>
      <c r="C195" s="254"/>
      <c r="D195" s="251"/>
      <c r="E195" s="427"/>
      <c r="F195" s="428"/>
      <c r="G195" s="252"/>
    </row>
    <row r="196" spans="1:7" x14ac:dyDescent="0.25">
      <c r="A196" s="214" t="s">
        <v>1591</v>
      </c>
      <c r="B196" s="229"/>
      <c r="C196" s="119" t="s">
        <v>2382</v>
      </c>
      <c r="D196" s="210" t="s">
        <v>8</v>
      </c>
      <c r="E196" s="241">
        <v>1</v>
      </c>
      <c r="F196" s="242"/>
      <c r="G196" s="255"/>
    </row>
    <row r="197" spans="1:7" x14ac:dyDescent="0.25">
      <c r="A197" s="338"/>
      <c r="B197" s="414"/>
      <c r="C197" s="254"/>
      <c r="D197" s="251"/>
      <c r="E197" s="427"/>
      <c r="F197" s="428"/>
      <c r="G197" s="252"/>
    </row>
    <row r="198" spans="1:7" x14ac:dyDescent="0.25">
      <c r="A198" s="214" t="s">
        <v>1592</v>
      </c>
      <c r="B198" s="229"/>
      <c r="C198" s="119" t="s">
        <v>2379</v>
      </c>
      <c r="D198" s="210" t="s">
        <v>8</v>
      </c>
      <c r="E198" s="241">
        <v>1</v>
      </c>
      <c r="F198" s="242"/>
      <c r="G198" s="255"/>
    </row>
    <row r="199" spans="1:7" x14ac:dyDescent="0.25">
      <c r="A199" s="338"/>
      <c r="B199" s="414"/>
      <c r="C199" s="254"/>
      <c r="D199" s="251"/>
      <c r="E199" s="427"/>
      <c r="F199" s="428"/>
      <c r="G199" s="252"/>
    </row>
    <row r="200" spans="1:7" x14ac:dyDescent="0.25">
      <c r="A200" s="214" t="s">
        <v>2383</v>
      </c>
      <c r="B200" s="229"/>
      <c r="C200" s="119" t="s">
        <v>2376</v>
      </c>
      <c r="D200" s="210" t="s">
        <v>8</v>
      </c>
      <c r="E200" s="241">
        <v>2</v>
      </c>
      <c r="F200" s="242"/>
      <c r="G200" s="255"/>
    </row>
    <row r="201" spans="1:7" x14ac:dyDescent="0.25">
      <c r="A201" s="338"/>
      <c r="B201" s="414"/>
      <c r="C201" s="254"/>
      <c r="D201" s="251"/>
      <c r="E201" s="427"/>
      <c r="F201" s="428"/>
      <c r="G201" s="252"/>
    </row>
    <row r="202" spans="1:7" x14ac:dyDescent="0.25">
      <c r="A202" s="249" t="s">
        <v>2384</v>
      </c>
      <c r="B202" s="229"/>
      <c r="C202" s="119" t="s">
        <v>670</v>
      </c>
      <c r="D202" s="210" t="s">
        <v>8</v>
      </c>
      <c r="E202" s="241">
        <v>1</v>
      </c>
      <c r="F202" s="242"/>
      <c r="G202" s="255"/>
    </row>
    <row r="203" spans="1:7" x14ac:dyDescent="0.25">
      <c r="A203" s="338"/>
      <c r="B203" s="414"/>
      <c r="C203" s="254"/>
      <c r="D203" s="251"/>
      <c r="E203" s="427"/>
      <c r="F203" s="428"/>
      <c r="G203" s="252"/>
    </row>
    <row r="204" spans="1:7" ht="24" x14ac:dyDescent="0.25">
      <c r="A204" s="249"/>
      <c r="B204" s="229"/>
      <c r="C204" s="212" t="s">
        <v>754</v>
      </c>
      <c r="D204" s="210"/>
      <c r="E204" s="241"/>
      <c r="F204" s="242"/>
      <c r="G204" s="255"/>
    </row>
    <row r="205" spans="1:7" x14ac:dyDescent="0.25">
      <c r="A205" s="338"/>
      <c r="B205" s="414"/>
      <c r="C205" s="254"/>
      <c r="D205" s="251"/>
      <c r="E205" s="427"/>
      <c r="F205" s="428"/>
      <c r="G205" s="252"/>
    </row>
    <row r="206" spans="1:7" x14ac:dyDescent="0.25">
      <c r="A206" s="249" t="s">
        <v>2385</v>
      </c>
      <c r="B206" s="229"/>
      <c r="C206" s="119" t="s">
        <v>660</v>
      </c>
      <c r="D206" s="210" t="s">
        <v>8</v>
      </c>
      <c r="E206" s="241">
        <v>2</v>
      </c>
      <c r="F206" s="242"/>
      <c r="G206" s="255"/>
    </row>
    <row r="207" spans="1:7" x14ac:dyDescent="0.25">
      <c r="A207" s="338"/>
      <c r="B207" s="414"/>
      <c r="C207" s="254"/>
      <c r="D207" s="251"/>
      <c r="E207" s="427"/>
      <c r="F207" s="428"/>
      <c r="G207" s="252"/>
    </row>
    <row r="208" spans="1:7" x14ac:dyDescent="0.25">
      <c r="A208" s="249" t="s">
        <v>2386</v>
      </c>
      <c r="B208" s="229"/>
      <c r="C208" s="119" t="s">
        <v>661</v>
      </c>
      <c r="D208" s="210" t="s">
        <v>8</v>
      </c>
      <c r="E208" s="241">
        <v>1</v>
      </c>
      <c r="F208" s="242"/>
      <c r="G208" s="255"/>
    </row>
    <row r="209" spans="1:7" x14ac:dyDescent="0.25">
      <c r="A209" s="338"/>
      <c r="B209" s="414"/>
      <c r="C209" s="254"/>
      <c r="D209" s="251"/>
      <c r="E209" s="427"/>
      <c r="F209" s="428"/>
      <c r="G209" s="252"/>
    </row>
    <row r="210" spans="1:7" x14ac:dyDescent="0.25">
      <c r="A210" s="249" t="s">
        <v>2387</v>
      </c>
      <c r="B210" s="229"/>
      <c r="C210" s="119" t="s">
        <v>755</v>
      </c>
      <c r="D210" s="210" t="s">
        <v>8</v>
      </c>
      <c r="E210" s="241">
        <v>1</v>
      </c>
      <c r="F210" s="242"/>
      <c r="G210" s="255"/>
    </row>
    <row r="211" spans="1:7" x14ac:dyDescent="0.25">
      <c r="A211" s="338"/>
      <c r="B211" s="414"/>
      <c r="C211" s="254"/>
      <c r="D211" s="251"/>
      <c r="E211" s="427"/>
      <c r="F211" s="428"/>
      <c r="G211" s="252"/>
    </row>
    <row r="212" spans="1:7" ht="24" x14ac:dyDescent="0.25">
      <c r="A212" s="227" t="s">
        <v>702</v>
      </c>
      <c r="B212" s="207" t="s">
        <v>1084</v>
      </c>
      <c r="C212" s="218" t="s">
        <v>1085</v>
      </c>
      <c r="D212" s="210"/>
      <c r="E212" s="241"/>
      <c r="F212" s="242"/>
      <c r="G212" s="255"/>
    </row>
    <row r="213" spans="1:7" x14ac:dyDescent="0.25">
      <c r="A213" s="338"/>
      <c r="B213" s="414"/>
      <c r="C213" s="254"/>
      <c r="D213" s="251"/>
      <c r="E213" s="427"/>
      <c r="F213" s="428"/>
      <c r="G213" s="252"/>
    </row>
    <row r="214" spans="1:7" ht="13.5" x14ac:dyDescent="0.25">
      <c r="A214" s="249" t="s">
        <v>1088</v>
      </c>
      <c r="B214" s="207"/>
      <c r="C214" s="233" t="s">
        <v>1086</v>
      </c>
      <c r="D214" s="210" t="s">
        <v>88</v>
      </c>
      <c r="E214" s="241">
        <v>15</v>
      </c>
      <c r="F214" s="242"/>
      <c r="G214" s="255"/>
    </row>
    <row r="215" spans="1:7" x14ac:dyDescent="0.25">
      <c r="A215" s="338"/>
      <c r="B215" s="414"/>
      <c r="C215" s="254"/>
      <c r="D215" s="251"/>
      <c r="E215" s="427"/>
      <c r="F215" s="428"/>
      <c r="G215" s="252"/>
    </row>
    <row r="216" spans="1:7" ht="13.5" x14ac:dyDescent="0.25">
      <c r="A216" s="249" t="s">
        <v>1089</v>
      </c>
      <c r="B216" s="229"/>
      <c r="C216" s="119" t="s">
        <v>1087</v>
      </c>
      <c r="D216" s="210" t="s">
        <v>87</v>
      </c>
      <c r="E216" s="241">
        <v>50</v>
      </c>
      <c r="F216" s="242"/>
      <c r="G216" s="255"/>
    </row>
    <row r="217" spans="1:7" x14ac:dyDescent="0.25">
      <c r="A217" s="338"/>
      <c r="B217" s="414"/>
      <c r="C217" s="254"/>
      <c r="D217" s="251"/>
      <c r="E217" s="427"/>
      <c r="F217" s="428"/>
      <c r="G217" s="252"/>
    </row>
    <row r="218" spans="1:7" ht="84" x14ac:dyDescent="0.25">
      <c r="A218" s="214" t="s">
        <v>704</v>
      </c>
      <c r="B218" s="210" t="s">
        <v>701</v>
      </c>
      <c r="C218" s="135" t="s">
        <v>2129</v>
      </c>
      <c r="D218" s="210" t="s">
        <v>8</v>
      </c>
      <c r="E218" s="187">
        <f>+ROUNDUP(SUM(E143:E155)/50,0)</f>
        <v>42</v>
      </c>
      <c r="F218" s="242"/>
      <c r="G218" s="255"/>
    </row>
    <row r="219" spans="1:7" x14ac:dyDescent="0.25">
      <c r="A219" s="338"/>
      <c r="B219" s="414"/>
      <c r="C219" s="254"/>
      <c r="D219" s="251"/>
      <c r="E219" s="427"/>
      <c r="F219" s="428"/>
      <c r="G219" s="252"/>
    </row>
    <row r="220" spans="1:7" ht="36" x14ac:dyDescent="0.25">
      <c r="A220" s="214" t="s">
        <v>1090</v>
      </c>
      <c r="B220" s="210" t="s">
        <v>2353</v>
      </c>
      <c r="C220" s="119" t="s">
        <v>2130</v>
      </c>
      <c r="D220" s="210" t="s">
        <v>8</v>
      </c>
      <c r="E220" s="241">
        <v>8</v>
      </c>
      <c r="F220" s="242"/>
      <c r="G220" s="255"/>
    </row>
    <row r="221" spans="1:7" x14ac:dyDescent="0.25">
      <c r="A221" s="338"/>
      <c r="B221" s="414"/>
      <c r="C221" s="254"/>
      <c r="D221" s="251"/>
      <c r="E221" s="427"/>
      <c r="F221" s="428"/>
      <c r="G221" s="252"/>
    </row>
    <row r="222" spans="1:7" x14ac:dyDescent="0.25">
      <c r="A222" s="246"/>
      <c r="B222" s="229"/>
      <c r="C222" s="119"/>
      <c r="D222" s="210"/>
      <c r="E222" s="241"/>
      <c r="F222" s="242"/>
      <c r="G222" s="255"/>
    </row>
    <row r="223" spans="1:7" x14ac:dyDescent="0.25">
      <c r="A223" s="338"/>
      <c r="B223" s="414"/>
      <c r="C223" s="254"/>
      <c r="D223" s="251"/>
      <c r="E223" s="427"/>
      <c r="F223" s="428"/>
      <c r="G223" s="252"/>
    </row>
    <row r="224" spans="1:7" x14ac:dyDescent="0.25">
      <c r="A224" s="246"/>
      <c r="B224" s="229"/>
      <c r="C224" s="119"/>
      <c r="D224" s="210"/>
      <c r="E224" s="241"/>
      <c r="F224" s="242"/>
      <c r="G224" s="255"/>
    </row>
    <row r="225" spans="1:7" ht="10.5" customHeight="1" x14ac:dyDescent="0.25">
      <c r="A225" s="338"/>
      <c r="B225" s="414"/>
      <c r="C225" s="254"/>
      <c r="D225" s="251"/>
      <c r="E225" s="427"/>
      <c r="F225" s="428"/>
      <c r="G225" s="252"/>
    </row>
    <row r="226" spans="1:7" x14ac:dyDescent="0.25">
      <c r="A226" s="246"/>
      <c r="B226" s="229"/>
      <c r="C226" s="119"/>
      <c r="D226" s="210"/>
      <c r="E226" s="241"/>
      <c r="F226" s="242"/>
      <c r="G226" s="255"/>
    </row>
    <row r="227" spans="1:7" ht="28.5" customHeight="1" x14ac:dyDescent="0.25">
      <c r="A227" s="526" t="s">
        <v>703</v>
      </c>
      <c r="B227" s="526"/>
      <c r="C227" s="526"/>
      <c r="D227" s="526"/>
      <c r="E227" s="526"/>
      <c r="F227" s="526"/>
      <c r="G227" s="158"/>
    </row>
    <row r="228" spans="1:7" x14ac:dyDescent="0.25">
      <c r="A228" s="338"/>
      <c r="B228" s="414"/>
      <c r="C228" s="254"/>
      <c r="D228" s="251"/>
      <c r="E228" s="427"/>
      <c r="F228" s="428"/>
      <c r="G228" s="252"/>
    </row>
    <row r="229" spans="1:7" ht="24" x14ac:dyDescent="0.25">
      <c r="A229" s="227" t="s">
        <v>620</v>
      </c>
      <c r="B229" s="207" t="s">
        <v>705</v>
      </c>
      <c r="C229" s="218" t="s">
        <v>706</v>
      </c>
      <c r="D229" s="210"/>
      <c r="E229" s="241"/>
      <c r="F229" s="242"/>
      <c r="G229" s="255"/>
    </row>
    <row r="230" spans="1:7" x14ac:dyDescent="0.25">
      <c r="A230" s="338"/>
      <c r="B230" s="414"/>
      <c r="C230" s="254"/>
      <c r="D230" s="251"/>
      <c r="E230" s="427"/>
      <c r="F230" s="428"/>
      <c r="G230" s="252"/>
    </row>
    <row r="231" spans="1:7" ht="24" x14ac:dyDescent="0.25">
      <c r="A231" s="246"/>
      <c r="B231" s="207" t="s">
        <v>168</v>
      </c>
      <c r="C231" s="38" t="s">
        <v>711</v>
      </c>
      <c r="D231" s="210"/>
      <c r="E231" s="241"/>
      <c r="F231" s="242"/>
      <c r="G231" s="255"/>
    </row>
    <row r="232" spans="1:7" x14ac:dyDescent="0.25">
      <c r="A232" s="338"/>
      <c r="B232" s="414"/>
      <c r="C232" s="254"/>
      <c r="D232" s="251"/>
      <c r="E232" s="427"/>
      <c r="F232" s="428"/>
      <c r="G232" s="252"/>
    </row>
    <row r="233" spans="1:7" ht="13.5" x14ac:dyDescent="0.25">
      <c r="A233" s="214" t="s">
        <v>722</v>
      </c>
      <c r="B233" s="229"/>
      <c r="C233" s="119" t="s">
        <v>707</v>
      </c>
      <c r="D233" s="210" t="s">
        <v>88</v>
      </c>
      <c r="E233" s="241">
        <f>ROUNDUP(40%*((0.124*$E$155)+(0.142*($E$147+$E$149))+(0.152*($E$145+$E$282))+(0.16*($E$143+$E$280))+(0.183*$E$278)),1)</f>
        <v>121.1</v>
      </c>
      <c r="F233" s="242"/>
      <c r="G233" s="255"/>
    </row>
    <row r="234" spans="1:7" x14ac:dyDescent="0.25">
      <c r="A234" s="338"/>
      <c r="B234" s="414"/>
      <c r="C234" s="254"/>
      <c r="D234" s="251"/>
      <c r="E234" s="427"/>
      <c r="F234" s="428"/>
      <c r="G234" s="252"/>
    </row>
    <row r="235" spans="1:7" ht="48" x14ac:dyDescent="0.25">
      <c r="A235" s="246"/>
      <c r="B235" s="207" t="s">
        <v>708</v>
      </c>
      <c r="C235" s="38" t="s">
        <v>709</v>
      </c>
      <c r="D235" s="210"/>
      <c r="E235" s="241"/>
      <c r="F235" s="242"/>
      <c r="G235" s="255"/>
    </row>
    <row r="236" spans="1:7" x14ac:dyDescent="0.25">
      <c r="A236" s="338"/>
      <c r="B236" s="414"/>
      <c r="C236" s="254"/>
      <c r="D236" s="251"/>
      <c r="E236" s="427"/>
      <c r="F236" s="428"/>
      <c r="G236" s="252"/>
    </row>
    <row r="237" spans="1:7" ht="24" x14ac:dyDescent="0.25">
      <c r="A237" s="246"/>
      <c r="B237" s="221" t="s">
        <v>710</v>
      </c>
      <c r="C237" s="212" t="s">
        <v>712</v>
      </c>
      <c r="D237" s="210"/>
      <c r="E237" s="241"/>
      <c r="F237" s="242"/>
      <c r="G237" s="255"/>
    </row>
    <row r="238" spans="1:7" x14ac:dyDescent="0.25">
      <c r="A238" s="338"/>
      <c r="B238" s="414"/>
      <c r="C238" s="254"/>
      <c r="D238" s="251"/>
      <c r="E238" s="427"/>
      <c r="F238" s="428"/>
      <c r="G238" s="252"/>
    </row>
    <row r="239" spans="1:7" ht="13.5" x14ac:dyDescent="0.25">
      <c r="A239" s="214" t="s">
        <v>723</v>
      </c>
      <c r="B239" s="229"/>
      <c r="C239" s="119" t="s">
        <v>707</v>
      </c>
      <c r="D239" s="210" t="s">
        <v>88</v>
      </c>
      <c r="E239" s="241">
        <f>ROUNDUP(40%*(300),1)</f>
        <v>120</v>
      </c>
      <c r="F239" s="242"/>
      <c r="G239" s="255"/>
    </row>
    <row r="240" spans="1:7" x14ac:dyDescent="0.25">
      <c r="A240" s="338"/>
      <c r="B240" s="414"/>
      <c r="C240" s="254"/>
      <c r="D240" s="251"/>
      <c r="E240" s="427"/>
      <c r="F240" s="428"/>
      <c r="G240" s="252"/>
    </row>
    <row r="241" spans="1:7" ht="24" x14ac:dyDescent="0.25">
      <c r="A241" s="246"/>
      <c r="B241" s="221" t="s">
        <v>713</v>
      </c>
      <c r="C241" s="212" t="s">
        <v>714</v>
      </c>
      <c r="D241" s="210"/>
      <c r="E241" s="241"/>
      <c r="F241" s="242"/>
      <c r="G241" s="255"/>
    </row>
    <row r="242" spans="1:7" x14ac:dyDescent="0.25">
      <c r="A242" s="338"/>
      <c r="B242" s="414"/>
      <c r="C242" s="254"/>
      <c r="D242" s="251"/>
      <c r="E242" s="427"/>
      <c r="F242" s="428"/>
      <c r="G242" s="252"/>
    </row>
    <row r="243" spans="1:7" ht="13.5" x14ac:dyDescent="0.25">
      <c r="A243" s="214" t="s">
        <v>724</v>
      </c>
      <c r="B243" s="229"/>
      <c r="C243" s="119" t="s">
        <v>246</v>
      </c>
      <c r="D243" s="210" t="s">
        <v>88</v>
      </c>
      <c r="E243" s="241">
        <f>ROUNDUP(55%*440,1)</f>
        <v>242</v>
      </c>
      <c r="F243" s="242"/>
      <c r="G243" s="255"/>
    </row>
    <row r="244" spans="1:7" x14ac:dyDescent="0.25">
      <c r="A244" s="338"/>
      <c r="B244" s="414"/>
      <c r="C244" s="254"/>
      <c r="D244" s="251"/>
      <c r="E244" s="427"/>
      <c r="F244" s="428"/>
      <c r="G244" s="252"/>
    </row>
    <row r="245" spans="1:7" ht="13.5" x14ac:dyDescent="0.25">
      <c r="A245" s="214" t="s">
        <v>725</v>
      </c>
      <c r="B245" s="229"/>
      <c r="C245" s="119" t="s">
        <v>707</v>
      </c>
      <c r="D245" s="210" t="s">
        <v>88</v>
      </c>
      <c r="E245" s="241">
        <f>ROUNDUP(20%*(300),1)</f>
        <v>60</v>
      </c>
      <c r="F245" s="242"/>
      <c r="G245" s="255"/>
    </row>
    <row r="246" spans="1:7" x14ac:dyDescent="0.25">
      <c r="A246" s="338"/>
      <c r="B246" s="414"/>
      <c r="C246" s="254"/>
      <c r="D246" s="251"/>
      <c r="E246" s="427"/>
      <c r="F246" s="428"/>
      <c r="G246" s="252"/>
    </row>
    <row r="247" spans="1:7" ht="24" x14ac:dyDescent="0.25">
      <c r="A247" s="246"/>
      <c r="B247" s="221" t="s">
        <v>715</v>
      </c>
      <c r="C247" s="212" t="s">
        <v>716</v>
      </c>
      <c r="D247" s="210"/>
      <c r="E247" s="241"/>
      <c r="F247" s="242"/>
      <c r="G247" s="255"/>
    </row>
    <row r="248" spans="1:7" x14ac:dyDescent="0.25">
      <c r="A248" s="338"/>
      <c r="B248" s="414"/>
      <c r="C248" s="254"/>
      <c r="D248" s="251"/>
      <c r="E248" s="427"/>
      <c r="F248" s="428"/>
      <c r="G248" s="252"/>
    </row>
    <row r="249" spans="1:7" ht="13.5" x14ac:dyDescent="0.25">
      <c r="A249" s="214" t="s">
        <v>726</v>
      </c>
      <c r="B249" s="229"/>
      <c r="C249" s="119" t="s">
        <v>246</v>
      </c>
      <c r="D249" s="210" t="s">
        <v>88</v>
      </c>
      <c r="E249" s="241">
        <f>ROUNDUP(55%*(440),1)</f>
        <v>242</v>
      </c>
      <c r="F249" s="242"/>
      <c r="G249" s="255"/>
    </row>
    <row r="250" spans="1:7" x14ac:dyDescent="0.25">
      <c r="A250" s="338"/>
      <c r="B250" s="414"/>
      <c r="C250" s="254"/>
      <c r="D250" s="251"/>
      <c r="E250" s="427"/>
      <c r="F250" s="428"/>
      <c r="G250" s="252"/>
    </row>
    <row r="251" spans="1:7" ht="13.5" x14ac:dyDescent="0.25">
      <c r="A251" s="214" t="s">
        <v>727</v>
      </c>
      <c r="B251" s="229"/>
      <c r="C251" s="119" t="s">
        <v>707</v>
      </c>
      <c r="D251" s="210" t="s">
        <v>88</v>
      </c>
      <c r="E251" s="241">
        <f>ROUNDUP(10%*(300),1)</f>
        <v>30</v>
      </c>
      <c r="F251" s="242"/>
      <c r="G251" s="255"/>
    </row>
    <row r="252" spans="1:7" x14ac:dyDescent="0.25">
      <c r="A252" s="338"/>
      <c r="B252" s="414"/>
      <c r="C252" s="254"/>
      <c r="D252" s="251"/>
      <c r="E252" s="427"/>
      <c r="F252" s="428"/>
      <c r="G252" s="252"/>
    </row>
    <row r="253" spans="1:7" ht="24" x14ac:dyDescent="0.25">
      <c r="A253" s="246"/>
      <c r="B253" s="221" t="s">
        <v>717</v>
      </c>
      <c r="C253" s="257" t="s">
        <v>720</v>
      </c>
      <c r="D253" s="142"/>
      <c r="E253" s="211"/>
      <c r="F253" s="242"/>
      <c r="G253" s="255"/>
    </row>
    <row r="254" spans="1:7" x14ac:dyDescent="0.25">
      <c r="A254" s="338"/>
      <c r="B254" s="414"/>
      <c r="C254" s="254"/>
      <c r="D254" s="251"/>
      <c r="E254" s="427"/>
      <c r="F254" s="428"/>
      <c r="G254" s="252"/>
    </row>
    <row r="255" spans="1:7" ht="24" x14ac:dyDescent="0.25">
      <c r="A255" s="214" t="s">
        <v>728</v>
      </c>
      <c r="B255" s="210"/>
      <c r="C255" s="233" t="s">
        <v>718</v>
      </c>
      <c r="D255" s="142" t="s">
        <v>87</v>
      </c>
      <c r="E255" s="211">
        <v>25</v>
      </c>
      <c r="F255" s="242"/>
      <c r="G255" s="255"/>
    </row>
    <row r="256" spans="1:7" x14ac:dyDescent="0.25">
      <c r="A256" s="338"/>
      <c r="B256" s="414"/>
      <c r="C256" s="254"/>
      <c r="D256" s="251"/>
      <c r="E256" s="427"/>
      <c r="F256" s="428"/>
      <c r="G256" s="252"/>
    </row>
    <row r="257" spans="1:7" ht="24" x14ac:dyDescent="0.25">
      <c r="A257" s="214" t="s">
        <v>729</v>
      </c>
      <c r="B257" s="210"/>
      <c r="C257" s="233" t="s">
        <v>719</v>
      </c>
      <c r="D257" s="142" t="s">
        <v>88</v>
      </c>
      <c r="E257" s="211">
        <v>5</v>
      </c>
      <c r="F257" s="242"/>
      <c r="G257" s="255"/>
    </row>
    <row r="258" spans="1:7" x14ac:dyDescent="0.25">
      <c r="A258" s="338"/>
      <c r="B258" s="414"/>
      <c r="C258" s="254"/>
      <c r="D258" s="251"/>
      <c r="E258" s="427"/>
      <c r="F258" s="428"/>
      <c r="G258" s="252"/>
    </row>
    <row r="259" spans="1:7" x14ac:dyDescent="0.25">
      <c r="A259" s="246"/>
      <c r="B259" s="229"/>
      <c r="C259" s="119"/>
      <c r="D259" s="210"/>
      <c r="E259" s="241"/>
      <c r="F259" s="242"/>
      <c r="G259" s="255"/>
    </row>
    <row r="260" spans="1:7" x14ac:dyDescent="0.25">
      <c r="A260" s="338"/>
      <c r="B260" s="414"/>
      <c r="C260" s="254"/>
      <c r="D260" s="251"/>
      <c r="E260" s="427"/>
      <c r="F260" s="428"/>
      <c r="G260" s="252"/>
    </row>
    <row r="261" spans="1:7" x14ac:dyDescent="0.25">
      <c r="A261" s="246"/>
      <c r="B261" s="229"/>
      <c r="C261" s="119"/>
      <c r="D261" s="210"/>
      <c r="E261" s="241"/>
      <c r="F261" s="242"/>
      <c r="G261" s="255"/>
    </row>
    <row r="262" spans="1:7" x14ac:dyDescent="0.25">
      <c r="A262" s="338"/>
      <c r="B262" s="414"/>
      <c r="C262" s="254"/>
      <c r="D262" s="251"/>
      <c r="E262" s="427"/>
      <c r="F262" s="428"/>
      <c r="G262" s="252"/>
    </row>
    <row r="263" spans="1:7" x14ac:dyDescent="0.25">
      <c r="A263" s="246"/>
      <c r="B263" s="229"/>
      <c r="C263" s="119"/>
      <c r="D263" s="210"/>
      <c r="E263" s="241"/>
      <c r="F263" s="242"/>
      <c r="G263" s="255"/>
    </row>
    <row r="264" spans="1:7" x14ac:dyDescent="0.25">
      <c r="A264" s="338"/>
      <c r="B264" s="414"/>
      <c r="C264" s="254"/>
      <c r="D264" s="251"/>
      <c r="E264" s="427"/>
      <c r="F264" s="428"/>
      <c r="G264" s="252"/>
    </row>
    <row r="265" spans="1:7" x14ac:dyDescent="0.25">
      <c r="A265" s="246"/>
      <c r="B265" s="229"/>
      <c r="C265" s="119"/>
      <c r="D265" s="210"/>
      <c r="E265" s="241"/>
      <c r="F265" s="242"/>
      <c r="G265" s="255"/>
    </row>
    <row r="266" spans="1:7" x14ac:dyDescent="0.25">
      <c r="A266" s="338"/>
      <c r="B266" s="414"/>
      <c r="C266" s="254"/>
      <c r="D266" s="251"/>
      <c r="E266" s="427"/>
      <c r="F266" s="428"/>
      <c r="G266" s="252"/>
    </row>
    <row r="267" spans="1:7" x14ac:dyDescent="0.25">
      <c r="A267" s="246"/>
      <c r="B267" s="229"/>
      <c r="C267" s="119"/>
      <c r="D267" s="210"/>
      <c r="E267" s="241"/>
      <c r="F267" s="242"/>
      <c r="G267" s="255"/>
    </row>
    <row r="268" spans="1:7" x14ac:dyDescent="0.25">
      <c r="A268" s="338"/>
      <c r="B268" s="414"/>
      <c r="C268" s="254"/>
      <c r="D268" s="251"/>
      <c r="E268" s="427"/>
      <c r="F268" s="428"/>
      <c r="G268" s="252"/>
    </row>
    <row r="269" spans="1:7" x14ac:dyDescent="0.25">
      <c r="A269" s="246"/>
      <c r="B269" s="229"/>
      <c r="C269" s="119"/>
      <c r="D269" s="210"/>
      <c r="E269" s="241"/>
      <c r="F269" s="242"/>
      <c r="G269" s="255"/>
    </row>
    <row r="270" spans="1:7" x14ac:dyDescent="0.25">
      <c r="A270" s="338"/>
      <c r="B270" s="414"/>
      <c r="C270" s="254"/>
      <c r="D270" s="251"/>
      <c r="E270" s="427"/>
      <c r="F270" s="428"/>
      <c r="G270" s="252"/>
    </row>
    <row r="271" spans="1:7" x14ac:dyDescent="0.25">
      <c r="A271" s="246"/>
      <c r="B271" s="229"/>
      <c r="C271" s="119"/>
      <c r="D271" s="210"/>
      <c r="E271" s="241"/>
      <c r="F271" s="242"/>
      <c r="G271" s="255"/>
    </row>
    <row r="272" spans="1:7" ht="28.5" customHeight="1" x14ac:dyDescent="0.25">
      <c r="A272" s="526" t="s">
        <v>721</v>
      </c>
      <c r="B272" s="526"/>
      <c r="C272" s="526"/>
      <c r="D272" s="526"/>
      <c r="E272" s="526"/>
      <c r="F272" s="526"/>
      <c r="G272" s="158"/>
    </row>
    <row r="273" spans="1:7" x14ac:dyDescent="0.25">
      <c r="A273" s="338"/>
      <c r="B273" s="414"/>
      <c r="C273" s="254"/>
      <c r="D273" s="251"/>
      <c r="E273" s="427"/>
      <c r="F273" s="428"/>
      <c r="G273" s="252"/>
    </row>
    <row r="274" spans="1:7" ht="24" x14ac:dyDescent="0.25">
      <c r="A274" s="227" t="s">
        <v>621</v>
      </c>
      <c r="B274" s="207" t="s">
        <v>430</v>
      </c>
      <c r="C274" s="38" t="s">
        <v>245</v>
      </c>
      <c r="D274" s="210"/>
      <c r="E274" s="241"/>
      <c r="F274" s="242"/>
      <c r="G274" s="255"/>
    </row>
    <row r="275" spans="1:7" x14ac:dyDescent="0.25">
      <c r="A275" s="338"/>
      <c r="B275" s="414"/>
      <c r="C275" s="254"/>
      <c r="D275" s="251"/>
      <c r="E275" s="427"/>
      <c r="F275" s="428"/>
      <c r="G275" s="252"/>
    </row>
    <row r="276" spans="1:7" ht="24" x14ac:dyDescent="0.25">
      <c r="A276" s="227" t="s">
        <v>734</v>
      </c>
      <c r="B276" s="207" t="s">
        <v>5</v>
      </c>
      <c r="C276" s="38" t="s">
        <v>730</v>
      </c>
      <c r="D276" s="210"/>
      <c r="E276" s="241"/>
      <c r="F276" s="242"/>
      <c r="G276" s="255"/>
    </row>
    <row r="277" spans="1:7" x14ac:dyDescent="0.25">
      <c r="A277" s="338"/>
      <c r="B277" s="414"/>
      <c r="C277" s="254"/>
      <c r="D277" s="251"/>
      <c r="E277" s="427"/>
      <c r="F277" s="428"/>
      <c r="G277" s="252"/>
    </row>
    <row r="278" spans="1:7" x14ac:dyDescent="0.25">
      <c r="A278" s="214" t="s">
        <v>741</v>
      </c>
      <c r="B278" s="229"/>
      <c r="C278" s="119" t="s">
        <v>731</v>
      </c>
      <c r="D278" s="210" t="s">
        <v>6</v>
      </c>
      <c r="E278" s="241">
        <f>+ROUNDUP(45*115%,0)</f>
        <v>52</v>
      </c>
      <c r="F278" s="242"/>
      <c r="G278" s="255"/>
    </row>
    <row r="279" spans="1:7" x14ac:dyDescent="0.25">
      <c r="A279" s="338"/>
      <c r="B279" s="414"/>
      <c r="C279" s="254"/>
      <c r="D279" s="251"/>
      <c r="E279" s="427"/>
      <c r="F279" s="428"/>
      <c r="G279" s="252"/>
    </row>
    <row r="280" spans="1:7" x14ac:dyDescent="0.25">
      <c r="A280" s="214" t="s">
        <v>742</v>
      </c>
      <c r="B280" s="229"/>
      <c r="C280" s="119" t="s">
        <v>732</v>
      </c>
      <c r="D280" s="210" t="s">
        <v>6</v>
      </c>
      <c r="E280" s="241">
        <f>E!E89</f>
        <v>45</v>
      </c>
      <c r="F280" s="242"/>
      <c r="G280" s="255"/>
    </row>
    <row r="281" spans="1:7" x14ac:dyDescent="0.25">
      <c r="A281" s="338"/>
      <c r="B281" s="414"/>
      <c r="C281" s="254"/>
      <c r="D281" s="251"/>
      <c r="E281" s="427"/>
      <c r="F281" s="428"/>
      <c r="G281" s="252"/>
    </row>
    <row r="282" spans="1:7" x14ac:dyDescent="0.25">
      <c r="A282" s="214" t="s">
        <v>743</v>
      </c>
      <c r="B282" s="229"/>
      <c r="C282" s="119" t="s">
        <v>733</v>
      </c>
      <c r="D282" s="210" t="s">
        <v>6</v>
      </c>
      <c r="E282" s="241">
        <f>ROUNDUP(42+38+32*110%,0)</f>
        <v>116</v>
      </c>
      <c r="F282" s="242"/>
      <c r="G282" s="255"/>
    </row>
    <row r="283" spans="1:7" x14ac:dyDescent="0.25">
      <c r="A283" s="338"/>
      <c r="B283" s="414"/>
      <c r="C283" s="254"/>
      <c r="D283" s="251"/>
      <c r="E283" s="427"/>
      <c r="F283" s="428"/>
      <c r="G283" s="252"/>
    </row>
    <row r="284" spans="1:7" ht="84" x14ac:dyDescent="0.25">
      <c r="A284" s="227" t="s">
        <v>744</v>
      </c>
      <c r="B284" s="207" t="s">
        <v>208</v>
      </c>
      <c r="C284" s="60" t="s">
        <v>737</v>
      </c>
      <c r="D284" s="229"/>
      <c r="E284" s="241"/>
      <c r="F284" s="242"/>
      <c r="G284" s="243"/>
    </row>
    <row r="285" spans="1:7" x14ac:dyDescent="0.25">
      <c r="A285" s="338"/>
      <c r="B285" s="414"/>
      <c r="C285" s="254"/>
      <c r="D285" s="251"/>
      <c r="E285" s="427"/>
      <c r="F285" s="428"/>
      <c r="G285" s="252"/>
    </row>
    <row r="286" spans="1:7" x14ac:dyDescent="0.25">
      <c r="A286" s="214" t="s">
        <v>745</v>
      </c>
      <c r="B286" s="229"/>
      <c r="C286" s="50" t="s">
        <v>738</v>
      </c>
      <c r="D286" s="210" t="s">
        <v>8</v>
      </c>
      <c r="E286" s="241">
        <v>6</v>
      </c>
      <c r="F286" s="242"/>
      <c r="G286" s="255"/>
    </row>
    <row r="287" spans="1:7" x14ac:dyDescent="0.25">
      <c r="A287" s="338"/>
      <c r="B287" s="414"/>
      <c r="C287" s="254"/>
      <c r="D287" s="251"/>
      <c r="E287" s="427"/>
      <c r="F287" s="428"/>
      <c r="G287" s="252"/>
    </row>
    <row r="288" spans="1:7" x14ac:dyDescent="0.25">
      <c r="A288" s="214" t="s">
        <v>746</v>
      </c>
      <c r="B288" s="229"/>
      <c r="C288" s="50" t="s">
        <v>739</v>
      </c>
      <c r="D288" s="210" t="s">
        <v>8</v>
      </c>
      <c r="E288" s="241">
        <v>4</v>
      </c>
      <c r="F288" s="242"/>
      <c r="G288" s="255"/>
    </row>
    <row r="289" spans="1:7" x14ac:dyDescent="0.25">
      <c r="A289" s="338"/>
      <c r="B289" s="414"/>
      <c r="C289" s="254"/>
      <c r="D289" s="251"/>
      <c r="E289" s="427"/>
      <c r="F289" s="428"/>
      <c r="G289" s="252"/>
    </row>
    <row r="290" spans="1:7" x14ac:dyDescent="0.25">
      <c r="A290" s="214" t="s">
        <v>747</v>
      </c>
      <c r="B290" s="229"/>
      <c r="C290" s="50" t="s">
        <v>740</v>
      </c>
      <c r="D290" s="210" t="s">
        <v>8</v>
      </c>
      <c r="E290" s="241">
        <v>2</v>
      </c>
      <c r="F290" s="242"/>
      <c r="G290" s="255"/>
    </row>
    <row r="291" spans="1:7" x14ac:dyDescent="0.25">
      <c r="A291" s="338"/>
      <c r="B291" s="414"/>
      <c r="C291" s="254"/>
      <c r="D291" s="251"/>
      <c r="E291" s="427"/>
      <c r="F291" s="428"/>
      <c r="G291" s="252"/>
    </row>
    <row r="292" spans="1:7" ht="36" x14ac:dyDescent="0.25">
      <c r="A292" s="227" t="s">
        <v>1593</v>
      </c>
      <c r="B292" s="207" t="s">
        <v>2201</v>
      </c>
      <c r="C292" s="60" t="s">
        <v>748</v>
      </c>
      <c r="D292" s="229"/>
      <c r="E292" s="241"/>
      <c r="F292" s="242"/>
      <c r="G292" s="243"/>
    </row>
    <row r="293" spans="1:7" x14ac:dyDescent="0.25">
      <c r="A293" s="338"/>
      <c r="B293" s="414"/>
      <c r="C293" s="254"/>
      <c r="D293" s="251"/>
      <c r="E293" s="427"/>
      <c r="F293" s="428"/>
      <c r="G293" s="252"/>
    </row>
    <row r="294" spans="1:7" x14ac:dyDescent="0.25">
      <c r="A294" s="214" t="s">
        <v>1594</v>
      </c>
      <c r="B294" s="229"/>
      <c r="C294" s="50" t="s">
        <v>749</v>
      </c>
      <c r="D294" s="210" t="s">
        <v>6</v>
      </c>
      <c r="E294" s="241">
        <v>360</v>
      </c>
      <c r="F294" s="242"/>
      <c r="G294" s="255"/>
    </row>
    <row r="295" spans="1:7" x14ac:dyDescent="0.25">
      <c r="A295" s="338"/>
      <c r="B295" s="414"/>
      <c r="C295" s="254"/>
      <c r="D295" s="251"/>
      <c r="E295" s="427"/>
      <c r="F295" s="428"/>
      <c r="G295" s="252"/>
    </row>
    <row r="296" spans="1:7" x14ac:dyDescent="0.25">
      <c r="A296" s="214" t="s">
        <v>1595</v>
      </c>
      <c r="B296" s="229"/>
      <c r="C296" s="50" t="s">
        <v>750</v>
      </c>
      <c r="D296" s="210" t="s">
        <v>6</v>
      </c>
      <c r="E296" s="241">
        <v>25</v>
      </c>
      <c r="F296" s="242"/>
      <c r="G296" s="255"/>
    </row>
    <row r="297" spans="1:7" x14ac:dyDescent="0.25">
      <c r="A297" s="338"/>
      <c r="B297" s="414"/>
      <c r="C297" s="254"/>
      <c r="D297" s="251"/>
      <c r="E297" s="427"/>
      <c r="F297" s="428"/>
      <c r="G297" s="252"/>
    </row>
    <row r="298" spans="1:7" x14ac:dyDescent="0.25">
      <c r="A298" s="214" t="s">
        <v>1596</v>
      </c>
      <c r="B298" s="229"/>
      <c r="C298" s="50" t="s">
        <v>625</v>
      </c>
      <c r="D298" s="210" t="s">
        <v>6</v>
      </c>
      <c r="E298" s="241">
        <v>260</v>
      </c>
      <c r="F298" s="242"/>
      <c r="G298" s="255"/>
    </row>
    <row r="299" spans="1:7" x14ac:dyDescent="0.25">
      <c r="A299" s="338"/>
      <c r="B299" s="414"/>
      <c r="C299" s="254"/>
      <c r="D299" s="251"/>
      <c r="E299" s="427"/>
      <c r="F299" s="428"/>
      <c r="G299" s="252"/>
    </row>
    <row r="300" spans="1:7" ht="48" x14ac:dyDescent="0.25">
      <c r="A300" s="214" t="s">
        <v>1597</v>
      </c>
      <c r="B300" s="210" t="s">
        <v>2202</v>
      </c>
      <c r="C300" s="50" t="s">
        <v>752</v>
      </c>
      <c r="D300" s="210" t="s">
        <v>8</v>
      </c>
      <c r="E300" s="241">
        <v>16</v>
      </c>
      <c r="F300" s="242"/>
      <c r="G300" s="255"/>
    </row>
    <row r="301" spans="1:7" x14ac:dyDescent="0.25">
      <c r="A301" s="338"/>
      <c r="B301" s="414"/>
      <c r="C301" s="254"/>
      <c r="D301" s="251"/>
      <c r="E301" s="427"/>
      <c r="F301" s="428"/>
      <c r="G301" s="252"/>
    </row>
    <row r="302" spans="1:7" x14ac:dyDescent="0.25">
      <c r="A302" s="246"/>
      <c r="B302" s="210"/>
      <c r="C302" s="50"/>
      <c r="D302" s="210"/>
      <c r="E302" s="241"/>
      <c r="F302" s="242"/>
      <c r="G302" s="255"/>
    </row>
    <row r="303" spans="1:7" x14ac:dyDescent="0.25">
      <c r="A303" s="338"/>
      <c r="B303" s="414"/>
      <c r="C303" s="254"/>
      <c r="D303" s="251"/>
      <c r="E303" s="427"/>
      <c r="F303" s="428"/>
      <c r="G303" s="252"/>
    </row>
    <row r="304" spans="1:7" x14ac:dyDescent="0.25">
      <c r="A304" s="246"/>
      <c r="B304" s="210"/>
      <c r="C304" s="50"/>
      <c r="D304" s="210"/>
      <c r="E304" s="241"/>
      <c r="F304" s="242"/>
      <c r="G304" s="255"/>
    </row>
    <row r="305" spans="1:7" x14ac:dyDescent="0.25">
      <c r="A305" s="338"/>
      <c r="B305" s="414"/>
      <c r="C305" s="254"/>
      <c r="D305" s="251"/>
      <c r="E305" s="427"/>
      <c r="F305" s="428"/>
      <c r="G305" s="252"/>
    </row>
    <row r="306" spans="1:7" x14ac:dyDescent="0.25">
      <c r="A306" s="246"/>
      <c r="B306" s="210"/>
      <c r="C306" s="50"/>
      <c r="D306" s="210"/>
      <c r="E306" s="241"/>
      <c r="F306" s="242"/>
      <c r="G306" s="255"/>
    </row>
    <row r="307" spans="1:7" x14ac:dyDescent="0.25">
      <c r="A307" s="338"/>
      <c r="B307" s="414"/>
      <c r="C307" s="254"/>
      <c r="D307" s="251"/>
      <c r="E307" s="427"/>
      <c r="F307" s="428"/>
      <c r="G307" s="252"/>
    </row>
    <row r="308" spans="1:7" x14ac:dyDescent="0.25">
      <c r="A308" s="246"/>
      <c r="B308" s="210"/>
      <c r="C308" s="50"/>
      <c r="D308" s="210"/>
      <c r="E308" s="241"/>
      <c r="F308" s="242"/>
      <c r="G308" s="255"/>
    </row>
    <row r="309" spans="1:7" x14ac:dyDescent="0.25">
      <c r="A309" s="338"/>
      <c r="B309" s="414"/>
      <c r="C309" s="254"/>
      <c r="D309" s="251"/>
      <c r="E309" s="427"/>
      <c r="F309" s="428"/>
      <c r="G309" s="252"/>
    </row>
    <row r="310" spans="1:7" x14ac:dyDescent="0.25">
      <c r="A310" s="246"/>
      <c r="B310" s="210"/>
      <c r="C310" s="50"/>
      <c r="D310" s="210"/>
      <c r="E310" s="241"/>
      <c r="F310" s="242"/>
      <c r="G310" s="255"/>
    </row>
    <row r="311" spans="1:7" x14ac:dyDescent="0.25">
      <c r="A311" s="338"/>
      <c r="B311" s="414"/>
      <c r="C311" s="254"/>
      <c r="D311" s="251"/>
      <c r="E311" s="427"/>
      <c r="F311" s="428"/>
      <c r="G311" s="252"/>
    </row>
    <row r="312" spans="1:7" x14ac:dyDescent="0.25">
      <c r="A312" s="246"/>
      <c r="B312" s="210"/>
      <c r="C312" s="50"/>
      <c r="D312" s="210"/>
      <c r="E312" s="241"/>
      <c r="F312" s="242"/>
      <c r="G312" s="255"/>
    </row>
    <row r="313" spans="1:7" x14ac:dyDescent="0.25">
      <c r="A313" s="338"/>
      <c r="B313" s="414"/>
      <c r="C313" s="254"/>
      <c r="D313" s="251"/>
      <c r="E313" s="427"/>
      <c r="F313" s="428"/>
      <c r="G313" s="252"/>
    </row>
    <row r="314" spans="1:7" x14ac:dyDescent="0.25">
      <c r="A314" s="246"/>
      <c r="B314" s="210"/>
      <c r="C314" s="50"/>
      <c r="D314" s="210"/>
      <c r="E314" s="241"/>
      <c r="F314" s="242"/>
      <c r="G314" s="255"/>
    </row>
    <row r="315" spans="1:7" ht="28.5" customHeight="1" x14ac:dyDescent="0.25">
      <c r="A315" s="527" t="s">
        <v>609</v>
      </c>
      <c r="B315" s="527"/>
      <c r="C315" s="527"/>
      <c r="D315" s="527"/>
      <c r="E315" s="527"/>
      <c r="F315" s="527"/>
      <c r="G315" s="328"/>
    </row>
    <row r="316" spans="1:7" ht="28.5" customHeight="1" x14ac:dyDescent="0.25">
      <c r="A316" s="527" t="s">
        <v>610</v>
      </c>
      <c r="B316" s="527"/>
      <c r="C316" s="527"/>
      <c r="D316" s="527"/>
      <c r="E316" s="527"/>
      <c r="F316" s="527"/>
      <c r="G316" s="328"/>
    </row>
    <row r="317" spans="1:7" x14ac:dyDescent="0.25">
      <c r="A317" s="338"/>
      <c r="B317" s="414"/>
      <c r="C317" s="254"/>
      <c r="D317" s="251"/>
      <c r="E317" s="427"/>
      <c r="F317" s="428"/>
      <c r="G317" s="252"/>
    </row>
    <row r="318" spans="1:7" x14ac:dyDescent="0.25">
      <c r="A318" s="227" t="s">
        <v>1598</v>
      </c>
      <c r="B318" s="207" t="s">
        <v>12</v>
      </c>
      <c r="C318" s="38" t="s">
        <v>753</v>
      </c>
      <c r="D318" s="229"/>
      <c r="E318" s="241"/>
      <c r="F318" s="242"/>
      <c r="G318" s="243"/>
    </row>
    <row r="319" spans="1:7" ht="11.85" customHeight="1" x14ac:dyDescent="0.25">
      <c r="A319" s="338"/>
      <c r="B319" s="414"/>
      <c r="C319" s="254"/>
      <c r="D319" s="251"/>
      <c r="E319" s="427"/>
      <c r="F319" s="428"/>
      <c r="G319" s="252"/>
    </row>
    <row r="320" spans="1:7" ht="88.5" customHeight="1" x14ac:dyDescent="0.25">
      <c r="A320" s="214" t="s">
        <v>1599</v>
      </c>
      <c r="B320" s="229"/>
      <c r="C320" s="119" t="s">
        <v>758</v>
      </c>
      <c r="D320" s="210" t="s">
        <v>28</v>
      </c>
      <c r="E320" s="241">
        <v>1</v>
      </c>
      <c r="F320" s="242"/>
      <c r="G320" s="255"/>
    </row>
    <row r="321" spans="1:7" ht="11.85" customHeight="1" x14ac:dyDescent="0.25">
      <c r="A321" s="338"/>
      <c r="B321" s="414"/>
      <c r="C321" s="254"/>
      <c r="D321" s="251"/>
      <c r="E321" s="427"/>
      <c r="F321" s="428"/>
      <c r="G321" s="252"/>
    </row>
    <row r="322" spans="1:7" ht="96" x14ac:dyDescent="0.25">
      <c r="A322" s="214" t="s">
        <v>1600</v>
      </c>
      <c r="B322" s="229"/>
      <c r="C322" s="119" t="s">
        <v>759</v>
      </c>
      <c r="D322" s="210" t="s">
        <v>28</v>
      </c>
      <c r="E322" s="241">
        <v>1</v>
      </c>
      <c r="F322" s="242"/>
      <c r="G322" s="255"/>
    </row>
    <row r="323" spans="1:7" ht="11.85" customHeight="1" x14ac:dyDescent="0.25">
      <c r="A323" s="338"/>
      <c r="B323" s="414"/>
      <c r="C323" s="254"/>
      <c r="D323" s="251"/>
      <c r="E323" s="427"/>
      <c r="F323" s="428"/>
      <c r="G323" s="252"/>
    </row>
    <row r="324" spans="1:7" ht="60" x14ac:dyDescent="0.25">
      <c r="A324" s="214" t="s">
        <v>1601</v>
      </c>
      <c r="B324" s="229"/>
      <c r="C324" s="119" t="s">
        <v>760</v>
      </c>
      <c r="D324" s="210" t="s">
        <v>28</v>
      </c>
      <c r="E324" s="241">
        <v>1</v>
      </c>
      <c r="F324" s="242"/>
      <c r="G324" s="255"/>
    </row>
    <row r="325" spans="1:7" ht="11.85" customHeight="1" x14ac:dyDescent="0.25">
      <c r="A325" s="338"/>
      <c r="B325" s="414"/>
      <c r="C325" s="254"/>
      <c r="D325" s="251"/>
      <c r="E325" s="427"/>
      <c r="F325" s="428"/>
      <c r="G325" s="252"/>
    </row>
    <row r="326" spans="1:7" ht="60" x14ac:dyDescent="0.25">
      <c r="A326" s="214" t="s">
        <v>1602</v>
      </c>
      <c r="B326" s="229"/>
      <c r="C326" s="119" t="s">
        <v>761</v>
      </c>
      <c r="D326" s="210" t="s">
        <v>28</v>
      </c>
      <c r="E326" s="241">
        <v>1</v>
      </c>
      <c r="F326" s="242"/>
      <c r="G326" s="255"/>
    </row>
    <row r="327" spans="1:7" x14ac:dyDescent="0.25">
      <c r="A327" s="338"/>
      <c r="B327" s="414"/>
      <c r="C327" s="254"/>
      <c r="D327" s="251"/>
      <c r="E327" s="427"/>
      <c r="F327" s="428"/>
      <c r="G327" s="252"/>
    </row>
    <row r="328" spans="1:7" ht="108" x14ac:dyDescent="0.25">
      <c r="A328" s="214" t="s">
        <v>1603</v>
      </c>
      <c r="B328" s="229"/>
      <c r="C328" s="119" t="s">
        <v>764</v>
      </c>
      <c r="D328" s="210" t="s">
        <v>28</v>
      </c>
      <c r="E328" s="241">
        <v>1</v>
      </c>
      <c r="F328" s="242"/>
      <c r="G328" s="255"/>
    </row>
    <row r="329" spans="1:7" x14ac:dyDescent="0.25">
      <c r="A329" s="338"/>
      <c r="B329" s="414"/>
      <c r="C329" s="254"/>
      <c r="D329" s="251"/>
      <c r="E329" s="427"/>
      <c r="F329" s="428"/>
      <c r="G329" s="252"/>
    </row>
    <row r="330" spans="1:7" x14ac:dyDescent="0.25">
      <c r="A330" s="246"/>
      <c r="B330" s="229"/>
      <c r="C330" s="119"/>
      <c r="D330" s="210"/>
      <c r="E330" s="241"/>
      <c r="F330" s="242"/>
      <c r="G330" s="255"/>
    </row>
    <row r="331" spans="1:7" x14ac:dyDescent="0.25">
      <c r="A331" s="338"/>
      <c r="B331" s="414"/>
      <c r="C331" s="254"/>
      <c r="D331" s="251"/>
      <c r="E331" s="427"/>
      <c r="F331" s="428"/>
      <c r="G331" s="252"/>
    </row>
    <row r="332" spans="1:7" x14ac:dyDescent="0.25">
      <c r="A332" s="246"/>
      <c r="B332" s="229"/>
      <c r="C332" s="119"/>
      <c r="D332" s="210"/>
      <c r="E332" s="241"/>
      <c r="F332" s="242"/>
      <c r="G332" s="255"/>
    </row>
    <row r="333" spans="1:7" x14ac:dyDescent="0.25">
      <c r="A333" s="338"/>
      <c r="B333" s="414"/>
      <c r="C333" s="254"/>
      <c r="D333" s="251"/>
      <c r="E333" s="427"/>
      <c r="F333" s="428"/>
      <c r="G333" s="252"/>
    </row>
    <row r="334" spans="1:7" x14ac:dyDescent="0.25">
      <c r="A334" s="246"/>
      <c r="B334" s="229"/>
      <c r="C334" s="119"/>
      <c r="D334" s="210"/>
      <c r="E334" s="241"/>
      <c r="F334" s="242"/>
      <c r="G334" s="255"/>
    </row>
    <row r="335" spans="1:7" x14ac:dyDescent="0.25">
      <c r="A335" s="338"/>
      <c r="B335" s="414"/>
      <c r="C335" s="254"/>
      <c r="D335" s="251"/>
      <c r="E335" s="427"/>
      <c r="F335" s="428"/>
      <c r="G335" s="252"/>
    </row>
    <row r="336" spans="1:7" x14ac:dyDescent="0.25">
      <c r="A336" s="246"/>
      <c r="B336" s="229"/>
      <c r="C336" s="119"/>
      <c r="D336" s="210"/>
      <c r="E336" s="241"/>
      <c r="F336" s="242"/>
      <c r="G336" s="255"/>
    </row>
    <row r="337" spans="1:7" x14ac:dyDescent="0.25">
      <c r="A337" s="338"/>
      <c r="B337" s="414"/>
      <c r="C337" s="254"/>
      <c r="D337" s="251"/>
      <c r="E337" s="427"/>
      <c r="F337" s="428"/>
      <c r="G337" s="252"/>
    </row>
    <row r="338" spans="1:7" x14ac:dyDescent="0.25">
      <c r="A338" s="246"/>
      <c r="B338" s="229"/>
      <c r="C338" s="119"/>
      <c r="D338" s="210"/>
      <c r="E338" s="241"/>
      <c r="F338" s="242"/>
      <c r="G338" s="255"/>
    </row>
    <row r="339" spans="1:7" ht="11.85" customHeight="1" x14ac:dyDescent="0.25">
      <c r="A339" s="338"/>
      <c r="B339" s="414"/>
      <c r="C339" s="254"/>
      <c r="D339" s="251"/>
      <c r="E339" s="427"/>
      <c r="F339" s="428"/>
      <c r="G339" s="252"/>
    </row>
    <row r="340" spans="1:7" ht="28.5" customHeight="1" x14ac:dyDescent="0.25">
      <c r="A340" s="526" t="s">
        <v>762</v>
      </c>
      <c r="B340" s="526"/>
      <c r="C340" s="526"/>
      <c r="D340" s="526"/>
      <c r="E340" s="526"/>
      <c r="F340" s="526"/>
      <c r="G340" s="337"/>
    </row>
    <row r="341" spans="1:7" ht="11.85" customHeight="1" x14ac:dyDescent="0.25">
      <c r="C341" s="326"/>
    </row>
    <row r="342" spans="1:7" x14ac:dyDescent="0.25">
      <c r="C342" s="326"/>
    </row>
    <row r="343" spans="1:7" x14ac:dyDescent="0.25">
      <c r="C343" s="326"/>
    </row>
    <row r="344" spans="1:7" x14ac:dyDescent="0.25">
      <c r="C344" s="326"/>
    </row>
    <row r="345" spans="1:7" x14ac:dyDescent="0.25">
      <c r="C345" s="326"/>
    </row>
    <row r="346" spans="1:7" s="32" customFormat="1" x14ac:dyDescent="0.25">
      <c r="A346" s="315"/>
      <c r="B346" s="315"/>
      <c r="C346" s="326"/>
      <c r="D346" s="315"/>
      <c r="E346" s="321"/>
      <c r="F346" s="322"/>
      <c r="G346" s="315"/>
    </row>
    <row r="347" spans="1:7" s="32" customFormat="1" x14ac:dyDescent="0.25">
      <c r="A347" s="315"/>
      <c r="B347" s="315"/>
      <c r="C347" s="326"/>
      <c r="D347" s="315"/>
      <c r="E347" s="321"/>
      <c r="F347" s="322"/>
      <c r="G347" s="315"/>
    </row>
    <row r="348" spans="1:7" s="32" customFormat="1" x14ac:dyDescent="0.25">
      <c r="A348" s="315"/>
      <c r="B348" s="315"/>
      <c r="C348" s="326"/>
      <c r="D348" s="315"/>
      <c r="E348" s="321"/>
      <c r="F348" s="322"/>
      <c r="G348" s="315"/>
    </row>
    <row r="349" spans="1:7" s="32" customFormat="1" x14ac:dyDescent="0.25">
      <c r="A349" s="315"/>
      <c r="B349" s="315"/>
      <c r="C349" s="326"/>
      <c r="D349" s="315"/>
      <c r="E349" s="321"/>
      <c r="F349" s="322"/>
      <c r="G349" s="315"/>
    </row>
    <row r="350" spans="1:7" s="32" customFormat="1" x14ac:dyDescent="0.25">
      <c r="A350" s="315"/>
      <c r="B350" s="315"/>
      <c r="C350" s="326"/>
      <c r="D350" s="315"/>
      <c r="E350" s="321"/>
      <c r="F350" s="322"/>
      <c r="G350" s="315"/>
    </row>
    <row r="351" spans="1:7" s="32" customFormat="1" x14ac:dyDescent="0.25">
      <c r="A351" s="315"/>
      <c r="B351" s="315"/>
      <c r="C351" s="326"/>
      <c r="D351" s="315"/>
      <c r="E351" s="321"/>
      <c r="F351" s="322"/>
      <c r="G351" s="315"/>
    </row>
    <row r="352" spans="1:7" s="32" customFormat="1" x14ac:dyDescent="0.25">
      <c r="A352" s="315"/>
      <c r="B352" s="315"/>
      <c r="C352" s="326"/>
      <c r="D352" s="315"/>
      <c r="E352" s="321"/>
      <c r="F352" s="322"/>
      <c r="G352" s="315"/>
    </row>
    <row r="353" spans="1:7" s="32" customFormat="1" x14ac:dyDescent="0.25">
      <c r="A353" s="315"/>
      <c r="B353" s="315"/>
      <c r="C353" s="326"/>
      <c r="D353" s="315"/>
      <c r="E353" s="321"/>
      <c r="F353" s="322"/>
      <c r="G353" s="315"/>
    </row>
    <row r="354" spans="1:7" s="32" customFormat="1" x14ac:dyDescent="0.25">
      <c r="A354" s="315"/>
      <c r="B354" s="315"/>
      <c r="C354" s="326"/>
      <c r="D354" s="315"/>
      <c r="E354" s="321"/>
      <c r="F354" s="322"/>
      <c r="G354" s="315"/>
    </row>
    <row r="355" spans="1:7" s="32" customFormat="1" x14ac:dyDescent="0.25">
      <c r="A355" s="315"/>
      <c r="B355" s="315"/>
      <c r="C355" s="326"/>
      <c r="D355" s="315"/>
      <c r="E355" s="321"/>
      <c r="F355" s="322"/>
      <c r="G355" s="315"/>
    </row>
    <row r="356" spans="1:7" s="32" customFormat="1" x14ac:dyDescent="0.25">
      <c r="A356" s="315"/>
      <c r="B356" s="315"/>
      <c r="C356" s="326"/>
      <c r="D356" s="315"/>
      <c r="E356" s="321"/>
      <c r="F356" s="322"/>
      <c r="G356" s="315"/>
    </row>
    <row r="357" spans="1:7" s="32" customFormat="1" x14ac:dyDescent="0.25">
      <c r="A357" s="315"/>
      <c r="B357" s="315"/>
      <c r="C357" s="326"/>
      <c r="D357" s="315"/>
      <c r="E357" s="321"/>
      <c r="F357" s="322"/>
      <c r="G357" s="315"/>
    </row>
    <row r="358" spans="1:7" s="32" customFormat="1" x14ac:dyDescent="0.25">
      <c r="A358" s="315"/>
      <c r="B358" s="315"/>
      <c r="C358" s="326"/>
      <c r="D358" s="315"/>
      <c r="E358" s="321"/>
      <c r="F358" s="322"/>
      <c r="G358" s="315"/>
    </row>
    <row r="359" spans="1:7" s="32" customFormat="1" x14ac:dyDescent="0.25">
      <c r="A359" s="315"/>
      <c r="B359" s="315"/>
      <c r="C359" s="326"/>
      <c r="D359" s="315"/>
      <c r="E359" s="321"/>
      <c r="F359" s="322"/>
      <c r="G359" s="315"/>
    </row>
    <row r="360" spans="1:7" s="32" customFormat="1" x14ac:dyDescent="0.25">
      <c r="A360" s="315"/>
      <c r="B360" s="315"/>
      <c r="C360" s="326"/>
      <c r="D360" s="315"/>
      <c r="E360" s="321"/>
      <c r="F360" s="322"/>
      <c r="G360" s="315"/>
    </row>
    <row r="361" spans="1:7" s="32" customFormat="1" x14ac:dyDescent="0.25">
      <c r="A361" s="315"/>
      <c r="B361" s="315"/>
      <c r="C361" s="326"/>
      <c r="D361" s="315"/>
      <c r="E361" s="321"/>
      <c r="F361" s="322"/>
      <c r="G361" s="315"/>
    </row>
    <row r="362" spans="1:7" s="32" customFormat="1" x14ac:dyDescent="0.25">
      <c r="A362" s="315"/>
      <c r="B362" s="315"/>
      <c r="C362" s="326"/>
      <c r="D362" s="315"/>
      <c r="E362" s="321"/>
      <c r="F362" s="322"/>
      <c r="G362" s="315"/>
    </row>
    <row r="363" spans="1:7" s="32" customFormat="1" x14ac:dyDescent="0.25">
      <c r="A363" s="315"/>
      <c r="B363" s="315"/>
      <c r="C363" s="326"/>
      <c r="D363" s="315"/>
      <c r="E363" s="321"/>
      <c r="F363" s="322"/>
      <c r="G363" s="315"/>
    </row>
    <row r="364" spans="1:7" s="32" customFormat="1" x14ac:dyDescent="0.25">
      <c r="A364" s="315"/>
      <c r="B364" s="315"/>
      <c r="C364" s="326"/>
      <c r="D364" s="315"/>
      <c r="E364" s="321"/>
      <c r="F364" s="322"/>
      <c r="G364" s="315"/>
    </row>
    <row r="365" spans="1:7" s="32" customFormat="1" x14ac:dyDescent="0.25">
      <c r="A365" s="315"/>
      <c r="B365" s="315"/>
      <c r="C365" s="326"/>
      <c r="D365" s="315"/>
      <c r="E365" s="321"/>
      <c r="F365" s="322"/>
      <c r="G365" s="315"/>
    </row>
    <row r="366" spans="1:7" s="32" customFormat="1" x14ac:dyDescent="0.25">
      <c r="A366" s="315"/>
      <c r="B366" s="315"/>
      <c r="C366" s="326"/>
      <c r="D366" s="315"/>
      <c r="E366" s="321"/>
      <c r="F366" s="322"/>
      <c r="G366" s="315"/>
    </row>
    <row r="367" spans="1:7" s="32" customFormat="1" x14ac:dyDescent="0.25">
      <c r="A367" s="315"/>
      <c r="B367" s="315"/>
      <c r="C367" s="326"/>
      <c r="D367" s="315"/>
      <c r="E367" s="321"/>
      <c r="F367" s="322"/>
      <c r="G367" s="315"/>
    </row>
    <row r="368" spans="1:7" s="32" customFormat="1" x14ac:dyDescent="0.25">
      <c r="A368" s="315"/>
      <c r="B368" s="315"/>
      <c r="C368" s="326"/>
      <c r="D368" s="315"/>
      <c r="E368" s="321"/>
      <c r="F368" s="322"/>
      <c r="G368" s="315"/>
    </row>
    <row r="369" spans="1:7" s="32" customFormat="1" x14ac:dyDescent="0.25">
      <c r="A369" s="315"/>
      <c r="B369" s="315"/>
      <c r="C369" s="326"/>
      <c r="D369" s="315"/>
      <c r="E369" s="321"/>
      <c r="F369" s="322"/>
      <c r="G369" s="315"/>
    </row>
    <row r="370" spans="1:7" s="32" customFormat="1" x14ac:dyDescent="0.25">
      <c r="A370" s="315"/>
      <c r="B370" s="315"/>
      <c r="C370" s="326"/>
      <c r="D370" s="315"/>
      <c r="E370" s="321"/>
      <c r="F370" s="322"/>
      <c r="G370" s="315"/>
    </row>
    <row r="371" spans="1:7" s="32" customFormat="1" x14ac:dyDescent="0.25">
      <c r="A371" s="315"/>
      <c r="B371" s="315"/>
      <c r="C371" s="326"/>
      <c r="D371" s="315"/>
      <c r="E371" s="321"/>
      <c r="F371" s="322"/>
      <c r="G371" s="315"/>
    </row>
    <row r="372" spans="1:7" s="32" customFormat="1" x14ac:dyDescent="0.25">
      <c r="A372" s="315"/>
      <c r="B372" s="315"/>
      <c r="C372" s="326"/>
      <c r="D372" s="315"/>
      <c r="E372" s="321"/>
      <c r="F372" s="322"/>
      <c r="G372" s="315"/>
    </row>
    <row r="373" spans="1:7" s="32" customFormat="1" x14ac:dyDescent="0.25">
      <c r="A373" s="315"/>
      <c r="B373" s="315"/>
      <c r="C373" s="326"/>
      <c r="D373" s="315"/>
      <c r="E373" s="321"/>
      <c r="F373" s="322"/>
      <c r="G373" s="315"/>
    </row>
    <row r="374" spans="1:7" s="32" customFormat="1" x14ac:dyDescent="0.25">
      <c r="A374" s="315"/>
      <c r="B374" s="315"/>
      <c r="C374" s="326"/>
      <c r="D374" s="315"/>
      <c r="E374" s="321"/>
      <c r="F374" s="322"/>
      <c r="G374" s="315"/>
    </row>
    <row r="375" spans="1:7" s="32" customFormat="1" x14ac:dyDescent="0.25">
      <c r="A375" s="315"/>
      <c r="B375" s="315"/>
      <c r="C375" s="326"/>
      <c r="D375" s="315"/>
      <c r="E375" s="321"/>
      <c r="F375" s="322"/>
      <c r="G375" s="315"/>
    </row>
    <row r="376" spans="1:7" s="32" customFormat="1" x14ac:dyDescent="0.25">
      <c r="A376" s="315"/>
      <c r="B376" s="315"/>
      <c r="C376" s="326"/>
      <c r="D376" s="315"/>
      <c r="E376" s="321"/>
      <c r="F376" s="322"/>
      <c r="G376" s="315"/>
    </row>
    <row r="377" spans="1:7" s="32" customFormat="1" x14ac:dyDescent="0.25">
      <c r="A377" s="315"/>
      <c r="B377" s="315"/>
      <c r="C377" s="326"/>
      <c r="D377" s="315"/>
      <c r="E377" s="321"/>
      <c r="F377" s="322"/>
      <c r="G377" s="315"/>
    </row>
    <row r="378" spans="1:7" s="32" customFormat="1" x14ac:dyDescent="0.25">
      <c r="A378" s="315"/>
      <c r="B378" s="315"/>
      <c r="C378" s="326"/>
      <c r="D378" s="315"/>
      <c r="E378" s="321"/>
      <c r="F378" s="322"/>
      <c r="G378" s="315"/>
    </row>
    <row r="379" spans="1:7" s="32" customFormat="1" x14ac:dyDescent="0.25">
      <c r="A379" s="315"/>
      <c r="B379" s="315"/>
      <c r="C379" s="326"/>
      <c r="D379" s="315"/>
      <c r="E379" s="321"/>
      <c r="F379" s="322"/>
      <c r="G379" s="315"/>
    </row>
    <row r="380" spans="1:7" s="32" customFormat="1" x14ac:dyDescent="0.25">
      <c r="A380" s="315"/>
      <c r="B380" s="315"/>
      <c r="C380" s="326"/>
      <c r="D380" s="315"/>
      <c r="E380" s="321"/>
      <c r="F380" s="322"/>
      <c r="G380" s="315"/>
    </row>
    <row r="381" spans="1:7" s="32" customFormat="1" x14ac:dyDescent="0.25">
      <c r="A381" s="315"/>
      <c r="B381" s="315"/>
      <c r="C381" s="326"/>
      <c r="D381" s="315"/>
      <c r="E381" s="321"/>
      <c r="F381" s="322"/>
      <c r="G381" s="315"/>
    </row>
    <row r="382" spans="1:7" s="32" customFormat="1" x14ac:dyDescent="0.25">
      <c r="A382" s="315"/>
      <c r="B382" s="315"/>
      <c r="C382" s="326"/>
      <c r="D382" s="315"/>
      <c r="E382" s="321"/>
      <c r="F382" s="322"/>
      <c r="G382" s="315"/>
    </row>
    <row r="383" spans="1:7" s="32" customFormat="1" x14ac:dyDescent="0.25">
      <c r="A383" s="315"/>
      <c r="B383" s="315"/>
      <c r="C383" s="326"/>
      <c r="D383" s="315"/>
      <c r="E383" s="321"/>
      <c r="F383" s="322"/>
      <c r="G383" s="315"/>
    </row>
    <row r="384" spans="1:7" s="32" customFormat="1" x14ac:dyDescent="0.25">
      <c r="A384" s="315"/>
      <c r="B384" s="315"/>
      <c r="C384" s="326"/>
      <c r="D384" s="315"/>
      <c r="E384" s="321"/>
      <c r="F384" s="322"/>
      <c r="G384" s="315"/>
    </row>
    <row r="385" spans="1:7" s="32" customFormat="1" x14ac:dyDescent="0.25">
      <c r="A385" s="315"/>
      <c r="B385" s="315"/>
      <c r="C385" s="326"/>
      <c r="D385" s="315"/>
      <c r="E385" s="321"/>
      <c r="F385" s="322"/>
      <c r="G385" s="315"/>
    </row>
    <row r="386" spans="1:7" s="32" customFormat="1" x14ac:dyDescent="0.25">
      <c r="A386" s="315"/>
      <c r="B386" s="315"/>
      <c r="C386" s="326"/>
      <c r="D386" s="315"/>
      <c r="E386" s="321"/>
      <c r="F386" s="322"/>
      <c r="G386" s="315"/>
    </row>
    <row r="387" spans="1:7" s="32" customFormat="1" x14ac:dyDescent="0.25">
      <c r="A387" s="315"/>
      <c r="B387" s="315"/>
      <c r="C387" s="326"/>
      <c r="D387" s="315"/>
      <c r="E387" s="321"/>
      <c r="F387" s="322"/>
      <c r="G387" s="315"/>
    </row>
    <row r="388" spans="1:7" s="32" customFormat="1" x14ac:dyDescent="0.25">
      <c r="A388" s="315"/>
      <c r="B388" s="315"/>
      <c r="C388" s="326"/>
      <c r="D388" s="315"/>
      <c r="E388" s="321"/>
      <c r="F388" s="322"/>
      <c r="G388" s="315"/>
    </row>
    <row r="389" spans="1:7" s="32" customFormat="1" x14ac:dyDescent="0.25">
      <c r="A389" s="315"/>
      <c r="B389" s="315"/>
      <c r="C389" s="326"/>
      <c r="D389" s="315"/>
      <c r="E389" s="321"/>
      <c r="F389" s="322"/>
      <c r="G389" s="315"/>
    </row>
    <row r="390" spans="1:7" s="32" customFormat="1" x14ac:dyDescent="0.25">
      <c r="A390" s="315"/>
      <c r="B390" s="315"/>
      <c r="C390" s="326"/>
      <c r="D390" s="315"/>
      <c r="E390" s="321"/>
      <c r="F390" s="322"/>
      <c r="G390" s="315"/>
    </row>
    <row r="391" spans="1:7" s="32" customFormat="1" x14ac:dyDescent="0.25">
      <c r="A391" s="315"/>
      <c r="B391" s="315"/>
      <c r="C391" s="326"/>
      <c r="D391" s="315"/>
      <c r="E391" s="321"/>
      <c r="F391" s="322"/>
      <c r="G391" s="315"/>
    </row>
    <row r="392" spans="1:7" s="32" customFormat="1" x14ac:dyDescent="0.25">
      <c r="A392" s="315"/>
      <c r="B392" s="315"/>
      <c r="C392" s="326"/>
      <c r="D392" s="315"/>
      <c r="E392" s="321"/>
      <c r="F392" s="322"/>
      <c r="G392" s="315"/>
    </row>
    <row r="393" spans="1:7" s="32" customFormat="1" x14ac:dyDescent="0.25">
      <c r="A393" s="315"/>
      <c r="B393" s="315"/>
      <c r="C393" s="326"/>
      <c r="D393" s="315"/>
      <c r="E393" s="321"/>
      <c r="F393" s="322"/>
      <c r="G393" s="315"/>
    </row>
    <row r="394" spans="1:7" s="32" customFormat="1" x14ac:dyDescent="0.25">
      <c r="A394" s="315"/>
      <c r="B394" s="315"/>
      <c r="C394" s="326"/>
      <c r="D394" s="315"/>
      <c r="E394" s="321"/>
      <c r="F394" s="322"/>
      <c r="G394" s="315"/>
    </row>
    <row r="395" spans="1:7" s="32" customFormat="1" x14ac:dyDescent="0.25">
      <c r="A395" s="315"/>
      <c r="B395" s="315"/>
      <c r="C395" s="326"/>
      <c r="D395" s="315"/>
      <c r="E395" s="321"/>
      <c r="F395" s="322"/>
      <c r="G395" s="315"/>
    </row>
    <row r="396" spans="1:7" s="32" customFormat="1" x14ac:dyDescent="0.25">
      <c r="A396" s="315"/>
      <c r="B396" s="315"/>
      <c r="C396" s="326"/>
      <c r="D396" s="315"/>
      <c r="E396" s="321"/>
      <c r="F396" s="322"/>
      <c r="G396" s="315"/>
    </row>
    <row r="397" spans="1:7" s="32" customFormat="1" x14ac:dyDescent="0.25">
      <c r="A397" s="315"/>
      <c r="B397" s="315"/>
      <c r="C397" s="326"/>
      <c r="D397" s="315"/>
      <c r="E397" s="321"/>
      <c r="F397" s="322"/>
      <c r="G397" s="315"/>
    </row>
    <row r="398" spans="1:7" s="32" customFormat="1" x14ac:dyDescent="0.25">
      <c r="A398" s="315"/>
      <c r="B398" s="315"/>
      <c r="C398" s="326"/>
      <c r="D398" s="315"/>
      <c r="E398" s="321"/>
      <c r="F398" s="322"/>
      <c r="G398" s="315"/>
    </row>
    <row r="399" spans="1:7" s="32" customFormat="1" x14ac:dyDescent="0.25">
      <c r="A399" s="315"/>
      <c r="B399" s="315"/>
      <c r="C399" s="326"/>
      <c r="D399" s="315"/>
      <c r="E399" s="321"/>
      <c r="F399" s="322"/>
      <c r="G399" s="315"/>
    </row>
    <row r="400" spans="1:7" s="32" customFormat="1" x14ac:dyDescent="0.25">
      <c r="A400" s="315"/>
      <c r="B400" s="315"/>
      <c r="C400" s="326"/>
      <c r="D400" s="315"/>
      <c r="E400" s="321"/>
      <c r="F400" s="322"/>
      <c r="G400" s="315"/>
    </row>
    <row r="401" spans="1:7" s="32" customFormat="1" x14ac:dyDescent="0.25">
      <c r="A401" s="315"/>
      <c r="B401" s="315"/>
      <c r="C401" s="326"/>
      <c r="D401" s="315"/>
      <c r="E401" s="321"/>
      <c r="F401" s="322"/>
      <c r="G401" s="315"/>
    </row>
    <row r="402" spans="1:7" s="32" customFormat="1" x14ac:dyDescent="0.25">
      <c r="A402" s="315"/>
      <c r="B402" s="315"/>
      <c r="C402" s="326"/>
      <c r="D402" s="315"/>
      <c r="E402" s="321"/>
      <c r="F402" s="322"/>
      <c r="G402" s="315"/>
    </row>
    <row r="403" spans="1:7" s="32" customFormat="1" x14ac:dyDescent="0.25">
      <c r="A403" s="315"/>
      <c r="B403" s="315"/>
      <c r="C403" s="326"/>
      <c r="D403" s="315"/>
      <c r="E403" s="321"/>
      <c r="F403" s="322"/>
      <c r="G403" s="315"/>
    </row>
    <row r="404" spans="1:7" s="32" customFormat="1" x14ac:dyDescent="0.25">
      <c r="A404" s="315"/>
      <c r="B404" s="315"/>
      <c r="C404" s="326"/>
      <c r="D404" s="315"/>
      <c r="E404" s="321"/>
      <c r="F404" s="322"/>
      <c r="G404" s="315"/>
    </row>
    <row r="405" spans="1:7" s="32" customFormat="1" x14ac:dyDescent="0.25">
      <c r="A405" s="315"/>
      <c r="B405" s="315"/>
      <c r="C405" s="326"/>
      <c r="D405" s="315"/>
      <c r="E405" s="321"/>
      <c r="F405" s="322"/>
      <c r="G405" s="315"/>
    </row>
    <row r="406" spans="1:7" s="32" customFormat="1" x14ac:dyDescent="0.25">
      <c r="A406" s="315"/>
      <c r="B406" s="315"/>
      <c r="C406" s="326"/>
      <c r="D406" s="315"/>
      <c r="E406" s="321"/>
      <c r="F406" s="322"/>
      <c r="G406" s="315"/>
    </row>
    <row r="407" spans="1:7" s="32" customFormat="1" x14ac:dyDescent="0.25">
      <c r="A407" s="315"/>
      <c r="B407" s="315"/>
      <c r="C407" s="326"/>
      <c r="D407" s="315"/>
      <c r="E407" s="321"/>
      <c r="F407" s="322"/>
      <c r="G407" s="315"/>
    </row>
    <row r="408" spans="1:7" s="32" customFormat="1" x14ac:dyDescent="0.25">
      <c r="A408" s="315"/>
      <c r="B408" s="315"/>
      <c r="C408" s="326"/>
      <c r="D408" s="315"/>
      <c r="E408" s="321"/>
      <c r="F408" s="322"/>
      <c r="G408" s="315"/>
    </row>
    <row r="409" spans="1:7" s="32" customFormat="1" x14ac:dyDescent="0.25">
      <c r="A409" s="315"/>
      <c r="B409" s="315"/>
      <c r="C409" s="326"/>
      <c r="D409" s="315"/>
      <c r="E409" s="321"/>
      <c r="F409" s="322"/>
      <c r="G409" s="315"/>
    </row>
    <row r="410" spans="1:7" s="32" customFormat="1" x14ac:dyDescent="0.25">
      <c r="A410" s="315"/>
      <c r="B410" s="315"/>
      <c r="C410" s="326"/>
      <c r="D410" s="315"/>
      <c r="E410" s="321"/>
      <c r="F410" s="322"/>
      <c r="G410" s="315"/>
    </row>
    <row r="411" spans="1:7" s="32" customFormat="1" x14ac:dyDescent="0.25">
      <c r="A411" s="315"/>
      <c r="B411" s="315"/>
      <c r="C411" s="326"/>
      <c r="D411" s="315"/>
      <c r="E411" s="321"/>
      <c r="F411" s="322"/>
      <c r="G411" s="315"/>
    </row>
    <row r="412" spans="1:7" s="32" customFormat="1" x14ac:dyDescent="0.25">
      <c r="A412" s="315"/>
      <c r="B412" s="315"/>
      <c r="C412" s="326"/>
      <c r="D412" s="315"/>
      <c r="E412" s="321"/>
      <c r="F412" s="322"/>
      <c r="G412" s="315"/>
    </row>
    <row r="413" spans="1:7" s="32" customFormat="1" x14ac:dyDescent="0.25">
      <c r="A413" s="315"/>
      <c r="B413" s="315"/>
      <c r="C413" s="326"/>
      <c r="D413" s="315"/>
      <c r="E413" s="321"/>
      <c r="F413" s="322"/>
      <c r="G413" s="315"/>
    </row>
    <row r="414" spans="1:7" s="32" customFormat="1" x14ac:dyDescent="0.25">
      <c r="A414" s="315"/>
      <c r="B414" s="315"/>
      <c r="C414" s="326"/>
      <c r="D414" s="315"/>
      <c r="E414" s="321"/>
      <c r="F414" s="322"/>
      <c r="G414" s="315"/>
    </row>
    <row r="415" spans="1:7" s="32" customFormat="1" x14ac:dyDescent="0.25">
      <c r="A415" s="315"/>
      <c r="B415" s="315"/>
      <c r="C415" s="326"/>
      <c r="D415" s="315"/>
      <c r="E415" s="321"/>
      <c r="F415" s="322"/>
      <c r="G415" s="315"/>
    </row>
    <row r="416" spans="1:7" s="32" customFormat="1" x14ac:dyDescent="0.25">
      <c r="A416" s="315"/>
      <c r="B416" s="315"/>
      <c r="C416" s="326"/>
      <c r="D416" s="315"/>
      <c r="E416" s="321"/>
      <c r="F416" s="322"/>
      <c r="G416" s="315"/>
    </row>
    <row r="417" spans="1:7" s="32" customFormat="1" x14ac:dyDescent="0.25">
      <c r="A417" s="315"/>
      <c r="B417" s="315"/>
      <c r="C417" s="326"/>
      <c r="D417" s="315"/>
      <c r="E417" s="321"/>
      <c r="F417" s="322"/>
      <c r="G417" s="315"/>
    </row>
    <row r="418" spans="1:7" s="32" customFormat="1" x14ac:dyDescent="0.25">
      <c r="A418" s="315"/>
      <c r="B418" s="315"/>
      <c r="C418" s="326"/>
      <c r="D418" s="315"/>
      <c r="E418" s="321"/>
      <c r="F418" s="322"/>
      <c r="G418" s="315"/>
    </row>
    <row r="419" spans="1:7" s="32" customFormat="1" x14ac:dyDescent="0.25">
      <c r="A419" s="315"/>
      <c r="B419" s="315"/>
      <c r="C419" s="326"/>
      <c r="D419" s="315"/>
      <c r="E419" s="321"/>
      <c r="F419" s="322"/>
      <c r="G419" s="315"/>
    </row>
    <row r="420" spans="1:7" s="32" customFormat="1" x14ac:dyDescent="0.25">
      <c r="A420" s="315"/>
      <c r="B420" s="315"/>
      <c r="C420" s="326"/>
      <c r="D420" s="315"/>
      <c r="E420" s="321"/>
      <c r="F420" s="322"/>
      <c r="G420" s="315"/>
    </row>
    <row r="421" spans="1:7" s="32" customFormat="1" x14ac:dyDescent="0.25">
      <c r="A421" s="315"/>
      <c r="B421" s="315"/>
      <c r="C421" s="326"/>
      <c r="D421" s="315"/>
      <c r="E421" s="321"/>
      <c r="F421" s="322"/>
      <c r="G421" s="315"/>
    </row>
    <row r="422" spans="1:7" s="32" customFormat="1" x14ac:dyDescent="0.25">
      <c r="A422" s="315"/>
      <c r="B422" s="315"/>
      <c r="C422" s="326"/>
      <c r="D422" s="315"/>
      <c r="E422" s="321"/>
      <c r="F422" s="322"/>
      <c r="G422" s="315"/>
    </row>
    <row r="423" spans="1:7" s="32" customFormat="1" x14ac:dyDescent="0.25">
      <c r="A423" s="315"/>
      <c r="B423" s="315"/>
      <c r="C423" s="326"/>
      <c r="D423" s="315"/>
      <c r="E423" s="321"/>
      <c r="F423" s="322"/>
      <c r="G423" s="315"/>
    </row>
    <row r="424" spans="1:7" s="32" customFormat="1" x14ac:dyDescent="0.25">
      <c r="A424" s="315"/>
      <c r="B424" s="315"/>
      <c r="C424" s="326"/>
      <c r="D424" s="315"/>
      <c r="E424" s="321"/>
      <c r="F424" s="322"/>
      <c r="G424" s="315"/>
    </row>
    <row r="425" spans="1:7" s="32" customFormat="1" x14ac:dyDescent="0.25">
      <c r="A425" s="315"/>
      <c r="B425" s="315"/>
      <c r="C425" s="326"/>
      <c r="D425" s="315"/>
      <c r="E425" s="321"/>
      <c r="F425" s="322"/>
      <c r="G425" s="315"/>
    </row>
    <row r="426" spans="1:7" s="32" customFormat="1" x14ac:dyDescent="0.25">
      <c r="A426" s="315"/>
      <c r="B426" s="315"/>
      <c r="C426" s="326"/>
      <c r="D426" s="315"/>
      <c r="E426" s="321"/>
      <c r="F426" s="322"/>
      <c r="G426" s="315"/>
    </row>
    <row r="427" spans="1:7" s="32" customFormat="1" x14ac:dyDescent="0.25">
      <c r="A427" s="315"/>
      <c r="B427" s="315"/>
      <c r="C427" s="326"/>
      <c r="D427" s="315"/>
      <c r="E427" s="321"/>
      <c r="F427" s="322"/>
      <c r="G427" s="315"/>
    </row>
    <row r="428" spans="1:7" s="32" customFormat="1" x14ac:dyDescent="0.25">
      <c r="A428" s="315"/>
      <c r="B428" s="315"/>
      <c r="C428" s="326"/>
      <c r="D428" s="315"/>
      <c r="E428" s="321"/>
      <c r="F428" s="322"/>
      <c r="G428" s="315"/>
    </row>
    <row r="429" spans="1:7" s="32" customFormat="1" x14ac:dyDescent="0.25">
      <c r="A429" s="315"/>
      <c r="B429" s="315"/>
      <c r="C429" s="326"/>
      <c r="D429" s="315"/>
      <c r="E429" s="321"/>
      <c r="F429" s="322"/>
      <c r="G429" s="315"/>
    </row>
    <row r="430" spans="1:7" s="32" customFormat="1" x14ac:dyDescent="0.25">
      <c r="A430" s="315"/>
      <c r="B430" s="315"/>
      <c r="C430" s="326"/>
      <c r="D430" s="315"/>
      <c r="E430" s="321"/>
      <c r="F430" s="322"/>
      <c r="G430" s="315"/>
    </row>
    <row r="431" spans="1:7" s="32" customFormat="1" x14ac:dyDescent="0.25">
      <c r="A431" s="315"/>
      <c r="B431" s="315"/>
      <c r="C431" s="326"/>
      <c r="D431" s="315"/>
      <c r="E431" s="321"/>
      <c r="F431" s="322"/>
      <c r="G431" s="315"/>
    </row>
    <row r="432" spans="1:7" s="32" customFormat="1" x14ac:dyDescent="0.25">
      <c r="A432" s="315"/>
      <c r="B432" s="315"/>
      <c r="C432" s="326"/>
      <c r="D432" s="315"/>
      <c r="E432" s="321"/>
      <c r="F432" s="322"/>
      <c r="G432" s="315"/>
    </row>
    <row r="433" spans="1:7" s="32" customFormat="1" x14ac:dyDescent="0.25">
      <c r="A433" s="315"/>
      <c r="B433" s="315"/>
      <c r="C433" s="326"/>
      <c r="D433" s="315"/>
      <c r="E433" s="321"/>
      <c r="F433" s="322"/>
      <c r="G433" s="315"/>
    </row>
    <row r="434" spans="1:7" s="32" customFormat="1" x14ac:dyDescent="0.25">
      <c r="A434" s="315"/>
      <c r="B434" s="315"/>
      <c r="C434" s="326"/>
      <c r="D434" s="315"/>
      <c r="E434" s="321"/>
      <c r="F434" s="322"/>
      <c r="G434" s="315"/>
    </row>
    <row r="435" spans="1:7" s="32" customFormat="1" x14ac:dyDescent="0.25">
      <c r="A435" s="315"/>
      <c r="B435" s="315"/>
      <c r="C435" s="326"/>
      <c r="D435" s="315"/>
      <c r="E435" s="321"/>
      <c r="F435" s="322"/>
      <c r="G435" s="315"/>
    </row>
    <row r="436" spans="1:7" s="32" customFormat="1" x14ac:dyDescent="0.25">
      <c r="A436" s="315"/>
      <c r="B436" s="315"/>
      <c r="C436" s="326"/>
      <c r="D436" s="315"/>
      <c r="E436" s="321"/>
      <c r="F436" s="322"/>
      <c r="G436" s="315"/>
    </row>
    <row r="437" spans="1:7" s="32" customFormat="1" x14ac:dyDescent="0.25">
      <c r="A437" s="315"/>
      <c r="B437" s="315"/>
      <c r="C437" s="326"/>
      <c r="D437" s="315"/>
      <c r="E437" s="321"/>
      <c r="F437" s="322"/>
      <c r="G437" s="315"/>
    </row>
    <row r="438" spans="1:7" s="32" customFormat="1" x14ac:dyDescent="0.25">
      <c r="A438" s="315"/>
      <c r="B438" s="315"/>
      <c r="C438" s="326"/>
      <c r="D438" s="315"/>
      <c r="E438" s="321"/>
      <c r="F438" s="322"/>
      <c r="G438" s="315"/>
    </row>
    <row r="439" spans="1:7" s="32" customFormat="1" x14ac:dyDescent="0.25">
      <c r="A439" s="315"/>
      <c r="B439" s="315"/>
      <c r="C439" s="326"/>
      <c r="D439" s="315"/>
      <c r="E439" s="321"/>
      <c r="F439" s="322"/>
      <c r="G439" s="315"/>
    </row>
    <row r="440" spans="1:7" s="32" customFormat="1" x14ac:dyDescent="0.25">
      <c r="A440" s="315"/>
      <c r="B440" s="315"/>
      <c r="C440" s="326"/>
      <c r="D440" s="315"/>
      <c r="E440" s="321"/>
      <c r="F440" s="322"/>
      <c r="G440" s="315"/>
    </row>
    <row r="441" spans="1:7" s="32" customFormat="1" x14ac:dyDescent="0.25">
      <c r="A441" s="315"/>
      <c r="B441" s="315"/>
      <c r="C441" s="326"/>
      <c r="D441" s="315"/>
      <c r="E441" s="321"/>
      <c r="F441" s="322"/>
      <c r="G441" s="315"/>
    </row>
    <row r="442" spans="1:7" s="32" customFormat="1" x14ac:dyDescent="0.25">
      <c r="A442" s="315"/>
      <c r="B442" s="315"/>
      <c r="C442" s="326"/>
      <c r="D442" s="315"/>
      <c r="E442" s="321"/>
      <c r="F442" s="322"/>
      <c r="G442" s="315"/>
    </row>
    <row r="443" spans="1:7" s="32" customFormat="1" x14ac:dyDescent="0.25">
      <c r="A443" s="315"/>
      <c r="B443" s="315"/>
      <c r="C443" s="326"/>
      <c r="D443" s="315"/>
      <c r="E443" s="321"/>
      <c r="F443" s="322"/>
      <c r="G443" s="315"/>
    </row>
    <row r="444" spans="1:7" s="32" customFormat="1" x14ac:dyDescent="0.25">
      <c r="A444" s="315"/>
      <c r="B444" s="315"/>
      <c r="C444" s="326"/>
      <c r="D444" s="315"/>
      <c r="E444" s="321"/>
      <c r="F444" s="322"/>
      <c r="G444" s="315"/>
    </row>
    <row r="445" spans="1:7" s="32" customFormat="1" x14ac:dyDescent="0.25">
      <c r="A445" s="315"/>
      <c r="B445" s="315"/>
      <c r="C445" s="326"/>
      <c r="D445" s="315"/>
      <c r="E445" s="321"/>
      <c r="F445" s="322"/>
      <c r="G445" s="315"/>
    </row>
    <row r="446" spans="1:7" s="32" customFormat="1" x14ac:dyDescent="0.25">
      <c r="A446" s="315"/>
      <c r="B446" s="315"/>
      <c r="C446" s="326"/>
      <c r="D446" s="315"/>
      <c r="E446" s="321"/>
      <c r="F446" s="322"/>
      <c r="G446" s="315"/>
    </row>
    <row r="447" spans="1:7" s="32" customFormat="1" x14ac:dyDescent="0.25">
      <c r="A447" s="315"/>
      <c r="B447" s="315"/>
      <c r="C447" s="326"/>
      <c r="D447" s="315"/>
      <c r="E447" s="321"/>
      <c r="F447" s="322"/>
      <c r="G447" s="315"/>
    </row>
    <row r="448" spans="1:7" s="32" customFormat="1" x14ac:dyDescent="0.25">
      <c r="A448" s="315"/>
      <c r="B448" s="315"/>
      <c r="C448" s="326"/>
      <c r="D448" s="315"/>
      <c r="E448" s="321"/>
      <c r="F448" s="322"/>
      <c r="G448" s="315"/>
    </row>
    <row r="449" spans="1:7" s="32" customFormat="1" x14ac:dyDescent="0.25">
      <c r="A449" s="315"/>
      <c r="B449" s="315"/>
      <c r="C449" s="326"/>
      <c r="D449" s="315"/>
      <c r="E449" s="321"/>
      <c r="F449" s="322"/>
      <c r="G449" s="315"/>
    </row>
    <row r="450" spans="1:7" s="32" customFormat="1" x14ac:dyDescent="0.25">
      <c r="A450" s="315"/>
      <c r="B450" s="315"/>
      <c r="C450" s="326"/>
      <c r="D450" s="315"/>
      <c r="E450" s="321"/>
      <c r="F450" s="322"/>
      <c r="G450" s="315"/>
    </row>
    <row r="451" spans="1:7" s="32" customFormat="1" x14ac:dyDescent="0.25">
      <c r="A451" s="315"/>
      <c r="B451" s="315"/>
      <c r="C451" s="326"/>
      <c r="D451" s="315"/>
      <c r="E451" s="321"/>
      <c r="F451" s="322"/>
      <c r="G451" s="315"/>
    </row>
    <row r="452" spans="1:7" s="32" customFormat="1" x14ac:dyDescent="0.25">
      <c r="A452" s="315"/>
      <c r="B452" s="315"/>
      <c r="C452" s="326"/>
      <c r="D452" s="315"/>
      <c r="E452" s="321"/>
      <c r="F452" s="322"/>
      <c r="G452" s="315"/>
    </row>
    <row r="453" spans="1:7" s="32" customFormat="1" x14ac:dyDescent="0.25">
      <c r="A453" s="315"/>
      <c r="B453" s="315"/>
      <c r="C453" s="326"/>
      <c r="D453" s="315"/>
      <c r="E453" s="321"/>
      <c r="F453" s="322"/>
      <c r="G453" s="315"/>
    </row>
    <row r="454" spans="1:7" s="32" customFormat="1" x14ac:dyDescent="0.25">
      <c r="A454" s="315"/>
      <c r="B454" s="315"/>
      <c r="C454" s="326"/>
      <c r="D454" s="315"/>
      <c r="E454" s="321"/>
      <c r="F454" s="322"/>
      <c r="G454" s="315"/>
    </row>
    <row r="455" spans="1:7" s="32" customFormat="1" x14ac:dyDescent="0.25">
      <c r="A455" s="315"/>
      <c r="B455" s="315"/>
      <c r="C455" s="326"/>
      <c r="D455" s="315"/>
      <c r="E455" s="321"/>
      <c r="F455" s="322"/>
      <c r="G455" s="315"/>
    </row>
    <row r="456" spans="1:7" s="32" customFormat="1" x14ac:dyDescent="0.25">
      <c r="A456" s="315"/>
      <c r="B456" s="315"/>
      <c r="C456" s="326"/>
      <c r="D456" s="315"/>
      <c r="E456" s="321"/>
      <c r="F456" s="322"/>
      <c r="G456" s="315"/>
    </row>
    <row r="457" spans="1:7" s="32" customFormat="1" x14ac:dyDescent="0.25">
      <c r="A457" s="315"/>
      <c r="B457" s="315"/>
      <c r="C457" s="326"/>
      <c r="D457" s="315"/>
      <c r="E457" s="321"/>
      <c r="F457" s="322"/>
      <c r="G457" s="315"/>
    </row>
    <row r="458" spans="1:7" s="32" customFormat="1" x14ac:dyDescent="0.25">
      <c r="A458" s="315"/>
      <c r="B458" s="315"/>
      <c r="C458" s="326"/>
      <c r="D458" s="315"/>
      <c r="E458" s="321"/>
      <c r="F458" s="322"/>
      <c r="G458" s="315"/>
    </row>
    <row r="459" spans="1:7" s="32" customFormat="1" x14ac:dyDescent="0.25">
      <c r="A459" s="315"/>
      <c r="B459" s="315"/>
      <c r="C459" s="326"/>
      <c r="D459" s="315"/>
      <c r="E459" s="321"/>
      <c r="F459" s="322"/>
      <c r="G459" s="315"/>
    </row>
    <row r="460" spans="1:7" s="32" customFormat="1" x14ac:dyDescent="0.25">
      <c r="A460" s="315"/>
      <c r="B460" s="315"/>
      <c r="C460" s="326"/>
      <c r="D460" s="315"/>
      <c r="E460" s="321"/>
      <c r="F460" s="322"/>
      <c r="G460" s="315"/>
    </row>
    <row r="461" spans="1:7" s="32" customFormat="1" x14ac:dyDescent="0.25">
      <c r="A461" s="315"/>
      <c r="B461" s="315"/>
      <c r="C461" s="326"/>
      <c r="D461" s="315"/>
      <c r="E461" s="321"/>
      <c r="F461" s="322"/>
      <c r="G461" s="315"/>
    </row>
    <row r="462" spans="1:7" s="32" customFormat="1" x14ac:dyDescent="0.25">
      <c r="A462" s="315"/>
      <c r="B462" s="315"/>
      <c r="C462" s="326"/>
      <c r="D462" s="315"/>
      <c r="E462" s="321"/>
      <c r="F462" s="322"/>
      <c r="G462" s="315"/>
    </row>
    <row r="463" spans="1:7" s="32" customFormat="1" x14ac:dyDescent="0.25">
      <c r="A463" s="315"/>
      <c r="B463" s="315"/>
      <c r="C463" s="326"/>
      <c r="D463" s="315"/>
      <c r="E463" s="321"/>
      <c r="F463" s="322"/>
      <c r="G463" s="315"/>
    </row>
    <row r="464" spans="1:7" s="32" customFormat="1" x14ac:dyDescent="0.25">
      <c r="A464" s="315"/>
      <c r="B464" s="315"/>
      <c r="C464" s="326"/>
      <c r="D464" s="315"/>
      <c r="E464" s="321"/>
      <c r="F464" s="322"/>
      <c r="G464" s="315"/>
    </row>
    <row r="465" spans="1:7" s="32" customFormat="1" x14ac:dyDescent="0.25">
      <c r="A465" s="315"/>
      <c r="B465" s="315"/>
      <c r="C465" s="326"/>
      <c r="D465" s="315"/>
      <c r="E465" s="321"/>
      <c r="F465" s="322"/>
      <c r="G465" s="315"/>
    </row>
    <row r="466" spans="1:7" s="32" customFormat="1" x14ac:dyDescent="0.25">
      <c r="A466" s="315"/>
      <c r="B466" s="315"/>
      <c r="C466" s="326"/>
      <c r="D466" s="315"/>
      <c r="E466" s="321"/>
      <c r="F466" s="322"/>
      <c r="G466" s="315"/>
    </row>
    <row r="467" spans="1:7" s="32" customFormat="1" x14ac:dyDescent="0.25">
      <c r="A467" s="315"/>
      <c r="B467" s="315"/>
      <c r="C467" s="326"/>
      <c r="D467" s="315"/>
      <c r="E467" s="321"/>
      <c r="F467" s="322"/>
      <c r="G467" s="315"/>
    </row>
    <row r="468" spans="1:7" s="32" customFormat="1" x14ac:dyDescent="0.25">
      <c r="A468" s="315"/>
      <c r="B468" s="315"/>
      <c r="C468" s="326"/>
      <c r="D468" s="315"/>
      <c r="E468" s="321"/>
      <c r="F468" s="322"/>
      <c r="G468" s="315"/>
    </row>
    <row r="469" spans="1:7" s="32" customFormat="1" x14ac:dyDescent="0.25">
      <c r="A469" s="315"/>
      <c r="B469" s="315"/>
      <c r="C469" s="326"/>
      <c r="D469" s="315"/>
      <c r="E469" s="321"/>
      <c r="F469" s="322"/>
      <c r="G469" s="315"/>
    </row>
    <row r="470" spans="1:7" s="32" customFormat="1" x14ac:dyDescent="0.25">
      <c r="A470" s="315"/>
      <c r="B470" s="315"/>
      <c r="C470" s="326"/>
      <c r="D470" s="315"/>
      <c r="E470" s="321"/>
      <c r="F470" s="322"/>
      <c r="G470" s="315"/>
    </row>
    <row r="471" spans="1:7" s="32" customFormat="1" x14ac:dyDescent="0.25">
      <c r="A471" s="315"/>
      <c r="B471" s="315"/>
      <c r="C471" s="326"/>
      <c r="D471" s="315"/>
      <c r="E471" s="321"/>
      <c r="F471" s="322"/>
      <c r="G471" s="315"/>
    </row>
    <row r="472" spans="1:7" s="32" customFormat="1" x14ac:dyDescent="0.25">
      <c r="A472" s="315"/>
      <c r="B472" s="315"/>
      <c r="C472" s="326"/>
      <c r="D472" s="315"/>
      <c r="E472" s="321"/>
      <c r="F472" s="322"/>
      <c r="G472" s="315"/>
    </row>
    <row r="473" spans="1:7" s="32" customFormat="1" x14ac:dyDescent="0.25">
      <c r="A473" s="315"/>
      <c r="B473" s="315"/>
      <c r="C473" s="326"/>
      <c r="D473" s="315"/>
      <c r="E473" s="321"/>
      <c r="F473" s="322"/>
      <c r="G473" s="315"/>
    </row>
    <row r="474" spans="1:7" s="32" customFormat="1" x14ac:dyDescent="0.25">
      <c r="A474" s="315"/>
      <c r="B474" s="315"/>
      <c r="C474" s="326"/>
      <c r="D474" s="315"/>
      <c r="E474" s="321"/>
      <c r="F474" s="322"/>
      <c r="G474" s="315"/>
    </row>
    <row r="475" spans="1:7" s="32" customFormat="1" x14ac:dyDescent="0.25">
      <c r="A475" s="315"/>
      <c r="B475" s="315"/>
      <c r="C475" s="326"/>
      <c r="D475" s="315"/>
      <c r="E475" s="321"/>
      <c r="F475" s="322"/>
      <c r="G475" s="315"/>
    </row>
    <row r="476" spans="1:7" s="32" customFormat="1" x14ac:dyDescent="0.25">
      <c r="A476" s="315"/>
      <c r="B476" s="315"/>
      <c r="C476" s="326"/>
      <c r="D476" s="315"/>
      <c r="E476" s="321"/>
      <c r="F476" s="322"/>
      <c r="G476" s="315"/>
    </row>
    <row r="477" spans="1:7" s="32" customFormat="1" x14ac:dyDescent="0.25">
      <c r="A477" s="315"/>
      <c r="B477" s="315"/>
      <c r="C477" s="326"/>
      <c r="D477" s="315"/>
      <c r="E477" s="321"/>
      <c r="F477" s="322"/>
      <c r="G477" s="315"/>
    </row>
    <row r="478" spans="1:7" s="32" customFormat="1" x14ac:dyDescent="0.25">
      <c r="A478" s="315"/>
      <c r="B478" s="315"/>
      <c r="C478" s="326"/>
      <c r="D478" s="315"/>
      <c r="E478" s="321"/>
      <c r="F478" s="322"/>
      <c r="G478" s="315"/>
    </row>
    <row r="479" spans="1:7" s="32" customFormat="1" x14ac:dyDescent="0.25">
      <c r="A479" s="315"/>
      <c r="B479" s="315"/>
      <c r="C479" s="326"/>
      <c r="D479" s="315"/>
      <c r="E479" s="321"/>
      <c r="F479" s="322"/>
      <c r="G479" s="315"/>
    </row>
    <row r="480" spans="1:7" s="32" customFormat="1" x14ac:dyDescent="0.25">
      <c r="A480" s="315"/>
      <c r="B480" s="315"/>
      <c r="C480" s="326"/>
      <c r="D480" s="315"/>
      <c r="E480" s="321"/>
      <c r="F480" s="322"/>
      <c r="G480" s="315"/>
    </row>
    <row r="481" spans="1:7" s="32" customFormat="1" x14ac:dyDescent="0.25">
      <c r="A481" s="315"/>
      <c r="B481" s="315"/>
      <c r="C481" s="326"/>
      <c r="D481" s="315"/>
      <c r="E481" s="321"/>
      <c r="F481" s="322"/>
      <c r="G481" s="315"/>
    </row>
    <row r="482" spans="1:7" s="32" customFormat="1" x14ac:dyDescent="0.25">
      <c r="A482" s="315"/>
      <c r="B482" s="315"/>
      <c r="C482" s="326"/>
      <c r="D482" s="315"/>
      <c r="E482" s="321"/>
      <c r="F482" s="322"/>
      <c r="G482" s="315"/>
    </row>
    <row r="483" spans="1:7" s="32" customFormat="1" x14ac:dyDescent="0.25">
      <c r="A483" s="315"/>
      <c r="B483" s="315"/>
      <c r="C483" s="326"/>
      <c r="D483" s="315"/>
      <c r="E483" s="321"/>
      <c r="F483" s="322"/>
      <c r="G483" s="315"/>
    </row>
    <row r="484" spans="1:7" s="32" customFormat="1" x14ac:dyDescent="0.25">
      <c r="A484" s="315"/>
      <c r="B484" s="315"/>
      <c r="C484" s="326"/>
      <c r="D484" s="315"/>
      <c r="E484" s="321"/>
      <c r="F484" s="322"/>
      <c r="G484" s="315"/>
    </row>
    <row r="485" spans="1:7" s="32" customFormat="1" x14ac:dyDescent="0.25">
      <c r="A485" s="315"/>
      <c r="B485" s="315"/>
      <c r="C485" s="326"/>
      <c r="D485" s="315"/>
      <c r="E485" s="321"/>
      <c r="F485" s="322"/>
      <c r="G485" s="315"/>
    </row>
    <row r="486" spans="1:7" s="32" customFormat="1" x14ac:dyDescent="0.25">
      <c r="A486" s="315"/>
      <c r="B486" s="315"/>
      <c r="C486" s="326"/>
      <c r="D486" s="315"/>
      <c r="E486" s="321"/>
      <c r="F486" s="322"/>
      <c r="G486" s="315"/>
    </row>
    <row r="487" spans="1:7" s="32" customFormat="1" x14ac:dyDescent="0.25">
      <c r="A487" s="315"/>
      <c r="B487" s="315"/>
      <c r="C487" s="326"/>
      <c r="D487" s="315"/>
      <c r="E487" s="321"/>
      <c r="F487" s="322"/>
      <c r="G487" s="315"/>
    </row>
    <row r="488" spans="1:7" s="32" customFormat="1" x14ac:dyDescent="0.25">
      <c r="A488" s="315"/>
      <c r="B488" s="315"/>
      <c r="C488" s="326"/>
      <c r="D488" s="315"/>
      <c r="E488" s="321"/>
      <c r="F488" s="322"/>
      <c r="G488" s="315"/>
    </row>
    <row r="489" spans="1:7" s="32" customFormat="1" x14ac:dyDescent="0.25">
      <c r="A489" s="315"/>
      <c r="B489" s="315"/>
      <c r="C489" s="326"/>
      <c r="D489" s="315"/>
      <c r="E489" s="321"/>
      <c r="F489" s="322"/>
      <c r="G489" s="315"/>
    </row>
    <row r="490" spans="1:7" s="32" customFormat="1" x14ac:dyDescent="0.25">
      <c r="A490" s="315"/>
      <c r="B490" s="315"/>
      <c r="C490" s="326"/>
      <c r="D490" s="315"/>
      <c r="E490" s="321"/>
      <c r="F490" s="322"/>
      <c r="G490" s="315"/>
    </row>
    <row r="491" spans="1:7" s="32" customFormat="1" x14ac:dyDescent="0.25">
      <c r="A491" s="315"/>
      <c r="B491" s="315"/>
      <c r="C491" s="326"/>
      <c r="D491" s="315"/>
      <c r="E491" s="321"/>
      <c r="F491" s="322"/>
      <c r="G491" s="315"/>
    </row>
    <row r="492" spans="1:7" s="32" customFormat="1" x14ac:dyDescent="0.25">
      <c r="A492" s="315"/>
      <c r="B492" s="315"/>
      <c r="C492" s="326"/>
      <c r="D492" s="315"/>
      <c r="E492" s="321"/>
      <c r="F492" s="322"/>
      <c r="G492" s="315"/>
    </row>
    <row r="493" spans="1:7" s="32" customFormat="1" x14ac:dyDescent="0.25">
      <c r="A493" s="315"/>
      <c r="B493" s="315"/>
      <c r="C493" s="326"/>
      <c r="D493" s="315"/>
      <c r="E493" s="321"/>
      <c r="F493" s="322"/>
      <c r="G493" s="315"/>
    </row>
    <row r="494" spans="1:7" s="32" customFormat="1" x14ac:dyDescent="0.25">
      <c r="A494" s="315"/>
      <c r="B494" s="315"/>
      <c r="C494" s="326"/>
      <c r="D494" s="315"/>
      <c r="E494" s="321"/>
      <c r="F494" s="322"/>
      <c r="G494" s="315"/>
    </row>
    <row r="495" spans="1:7" s="32" customFormat="1" x14ac:dyDescent="0.25">
      <c r="A495" s="315"/>
      <c r="B495" s="315"/>
      <c r="C495" s="326"/>
      <c r="D495" s="315"/>
      <c r="E495" s="321"/>
      <c r="F495" s="322"/>
      <c r="G495" s="315"/>
    </row>
    <row r="496" spans="1:7" s="32" customFormat="1" x14ac:dyDescent="0.25">
      <c r="A496" s="315"/>
      <c r="B496" s="315"/>
      <c r="C496" s="326"/>
      <c r="D496" s="315"/>
      <c r="E496" s="321"/>
      <c r="F496" s="322"/>
      <c r="G496" s="315"/>
    </row>
    <row r="497" spans="1:7" s="32" customFormat="1" x14ac:dyDescent="0.25">
      <c r="A497" s="315"/>
      <c r="B497" s="315"/>
      <c r="C497" s="326"/>
      <c r="D497" s="315"/>
      <c r="E497" s="321"/>
      <c r="F497" s="322"/>
      <c r="G497" s="315"/>
    </row>
    <row r="498" spans="1:7" s="32" customFormat="1" x14ac:dyDescent="0.25">
      <c r="A498" s="315"/>
      <c r="B498" s="315"/>
      <c r="C498" s="326"/>
      <c r="D498" s="315"/>
      <c r="E498" s="321"/>
      <c r="F498" s="322"/>
      <c r="G498" s="315"/>
    </row>
    <row r="499" spans="1:7" s="32" customFormat="1" x14ac:dyDescent="0.25">
      <c r="A499" s="315"/>
      <c r="B499" s="315"/>
      <c r="C499" s="326"/>
      <c r="D499" s="315"/>
      <c r="E499" s="321"/>
      <c r="F499" s="322"/>
      <c r="G499" s="315"/>
    </row>
    <row r="500" spans="1:7" s="32" customFormat="1" x14ac:dyDescent="0.25">
      <c r="A500" s="315"/>
      <c r="B500" s="315"/>
      <c r="C500" s="326"/>
      <c r="D500" s="315"/>
      <c r="E500" s="321"/>
      <c r="F500" s="322"/>
      <c r="G500" s="315"/>
    </row>
    <row r="501" spans="1:7" s="32" customFormat="1" x14ac:dyDescent="0.25">
      <c r="A501" s="315"/>
      <c r="B501" s="315"/>
      <c r="C501" s="326"/>
      <c r="D501" s="315"/>
      <c r="E501" s="321"/>
      <c r="F501" s="322"/>
      <c r="G501" s="315"/>
    </row>
    <row r="502" spans="1:7" s="32" customFormat="1" x14ac:dyDescent="0.25">
      <c r="A502" s="315"/>
      <c r="B502" s="315"/>
      <c r="C502" s="326"/>
      <c r="D502" s="315"/>
      <c r="E502" s="321"/>
      <c r="F502" s="322"/>
      <c r="G502" s="315"/>
    </row>
    <row r="503" spans="1:7" s="32" customFormat="1" x14ac:dyDescent="0.25">
      <c r="A503" s="315"/>
      <c r="B503" s="315"/>
      <c r="C503" s="326"/>
      <c r="D503" s="315"/>
      <c r="E503" s="321"/>
      <c r="F503" s="322"/>
      <c r="G503" s="315"/>
    </row>
    <row r="504" spans="1:7" s="32" customFormat="1" x14ac:dyDescent="0.25">
      <c r="A504" s="315"/>
      <c r="B504" s="315"/>
      <c r="C504" s="326"/>
      <c r="D504" s="315"/>
      <c r="E504" s="321"/>
      <c r="F504" s="322"/>
      <c r="G504" s="315"/>
    </row>
    <row r="505" spans="1:7" s="32" customFormat="1" x14ac:dyDescent="0.25">
      <c r="A505" s="315"/>
      <c r="B505" s="315"/>
      <c r="C505" s="326"/>
      <c r="D505" s="315"/>
      <c r="E505" s="321"/>
      <c r="F505" s="322"/>
      <c r="G505" s="315"/>
    </row>
    <row r="506" spans="1:7" s="32" customFormat="1" x14ac:dyDescent="0.25">
      <c r="A506" s="315"/>
      <c r="B506" s="315"/>
      <c r="C506" s="326"/>
      <c r="D506" s="315"/>
      <c r="E506" s="321"/>
      <c r="F506" s="322"/>
      <c r="G506" s="315"/>
    </row>
    <row r="507" spans="1:7" s="32" customFormat="1" x14ac:dyDescent="0.25">
      <c r="A507" s="315"/>
      <c r="B507" s="315"/>
      <c r="C507" s="326"/>
      <c r="D507" s="315"/>
      <c r="E507" s="321"/>
      <c r="F507" s="322"/>
      <c r="G507" s="315"/>
    </row>
    <row r="508" spans="1:7" s="32" customFormat="1" x14ac:dyDescent="0.25">
      <c r="A508" s="315"/>
      <c r="B508" s="315"/>
      <c r="C508" s="326"/>
      <c r="D508" s="315"/>
      <c r="E508" s="321"/>
      <c r="F508" s="322"/>
      <c r="G508" s="315"/>
    </row>
    <row r="509" spans="1:7" s="32" customFormat="1" x14ac:dyDescent="0.25">
      <c r="A509" s="315"/>
      <c r="B509" s="315"/>
      <c r="C509" s="326"/>
      <c r="D509" s="315"/>
      <c r="E509" s="321"/>
      <c r="F509" s="322"/>
      <c r="G509" s="315"/>
    </row>
    <row r="510" spans="1:7" s="32" customFormat="1" x14ac:dyDescent="0.25">
      <c r="A510" s="315"/>
      <c r="B510" s="315"/>
      <c r="C510" s="326"/>
      <c r="D510" s="315"/>
      <c r="E510" s="321"/>
      <c r="F510" s="322"/>
      <c r="G510" s="315"/>
    </row>
    <row r="511" spans="1:7" s="32" customFormat="1" x14ac:dyDescent="0.25">
      <c r="A511" s="315"/>
      <c r="B511" s="315"/>
      <c r="C511" s="326"/>
      <c r="D511" s="315"/>
      <c r="E511" s="321"/>
      <c r="F511" s="322"/>
      <c r="G511" s="315"/>
    </row>
    <row r="512" spans="1:7" s="32" customFormat="1" x14ac:dyDescent="0.25">
      <c r="A512" s="315"/>
      <c r="B512" s="315"/>
      <c r="C512" s="326"/>
      <c r="D512" s="315"/>
      <c r="E512" s="321"/>
      <c r="F512" s="322"/>
      <c r="G512" s="315"/>
    </row>
    <row r="513" spans="1:7" s="32" customFormat="1" x14ac:dyDescent="0.25">
      <c r="A513" s="315"/>
      <c r="B513" s="315"/>
      <c r="C513" s="326"/>
      <c r="D513" s="315"/>
      <c r="E513" s="321"/>
      <c r="F513" s="322"/>
      <c r="G513" s="315"/>
    </row>
    <row r="514" spans="1:7" s="32" customFormat="1" x14ac:dyDescent="0.25">
      <c r="A514" s="315"/>
      <c r="B514" s="315"/>
      <c r="C514" s="326"/>
      <c r="D514" s="315"/>
      <c r="E514" s="321"/>
      <c r="F514" s="322"/>
      <c r="G514" s="315"/>
    </row>
    <row r="515" spans="1:7" s="32" customFormat="1" x14ac:dyDescent="0.25">
      <c r="A515" s="315"/>
      <c r="B515" s="315"/>
      <c r="C515" s="326"/>
      <c r="D515" s="315"/>
      <c r="E515" s="321"/>
      <c r="F515" s="322"/>
      <c r="G515" s="315"/>
    </row>
    <row r="516" spans="1:7" s="32" customFormat="1" x14ac:dyDescent="0.25">
      <c r="A516" s="315"/>
      <c r="B516" s="315"/>
      <c r="C516" s="326"/>
      <c r="D516" s="315"/>
      <c r="E516" s="321"/>
      <c r="F516" s="322"/>
      <c r="G516" s="315"/>
    </row>
    <row r="517" spans="1:7" s="32" customFormat="1" x14ac:dyDescent="0.25">
      <c r="A517" s="315"/>
      <c r="B517" s="315"/>
      <c r="C517" s="326"/>
      <c r="D517" s="315"/>
      <c r="E517" s="321"/>
      <c r="F517" s="322"/>
      <c r="G517" s="315"/>
    </row>
    <row r="518" spans="1:7" s="32" customFormat="1" x14ac:dyDescent="0.25">
      <c r="A518" s="315"/>
      <c r="B518" s="315"/>
      <c r="C518" s="326"/>
      <c r="D518" s="315"/>
      <c r="E518" s="321"/>
      <c r="F518" s="322"/>
      <c r="G518" s="315"/>
    </row>
    <row r="519" spans="1:7" s="32" customFormat="1" x14ac:dyDescent="0.25">
      <c r="A519" s="315"/>
      <c r="B519" s="315"/>
      <c r="C519" s="326"/>
      <c r="D519" s="315"/>
      <c r="E519" s="321"/>
      <c r="F519" s="322"/>
      <c r="G519" s="315"/>
    </row>
    <row r="520" spans="1:7" s="32" customFormat="1" x14ac:dyDescent="0.25">
      <c r="A520" s="315"/>
      <c r="B520" s="315"/>
      <c r="C520" s="326"/>
      <c r="D520" s="315"/>
      <c r="E520" s="321"/>
      <c r="F520" s="322"/>
      <c r="G520" s="315"/>
    </row>
    <row r="521" spans="1:7" s="32" customFormat="1" x14ac:dyDescent="0.25">
      <c r="A521" s="315"/>
      <c r="B521" s="315"/>
      <c r="C521" s="326"/>
      <c r="D521" s="315"/>
      <c r="E521" s="321"/>
      <c r="F521" s="322"/>
      <c r="G521" s="315"/>
    </row>
    <row r="522" spans="1:7" s="32" customFormat="1" x14ac:dyDescent="0.25">
      <c r="A522" s="315"/>
      <c r="B522" s="315"/>
      <c r="C522" s="326"/>
      <c r="D522" s="315"/>
      <c r="E522" s="321"/>
      <c r="F522" s="322"/>
      <c r="G522" s="315"/>
    </row>
    <row r="523" spans="1:7" s="32" customFormat="1" x14ac:dyDescent="0.25">
      <c r="A523" s="315"/>
      <c r="B523" s="315"/>
      <c r="C523" s="326"/>
      <c r="D523" s="315"/>
      <c r="E523" s="321"/>
      <c r="F523" s="322"/>
      <c r="G523" s="315"/>
    </row>
    <row r="524" spans="1:7" s="32" customFormat="1" x14ac:dyDescent="0.25">
      <c r="A524" s="315"/>
      <c r="B524" s="315"/>
      <c r="C524" s="326"/>
      <c r="D524" s="315"/>
      <c r="E524" s="321"/>
      <c r="F524" s="322"/>
      <c r="G524" s="315"/>
    </row>
    <row r="525" spans="1:7" s="32" customFormat="1" x14ac:dyDescent="0.25">
      <c r="A525" s="315"/>
      <c r="B525" s="315"/>
      <c r="C525" s="326"/>
      <c r="D525" s="315"/>
      <c r="E525" s="321"/>
      <c r="F525" s="322"/>
      <c r="G525" s="315"/>
    </row>
    <row r="526" spans="1:7" s="32" customFormat="1" x14ac:dyDescent="0.25">
      <c r="A526" s="315"/>
      <c r="B526" s="315"/>
      <c r="C526" s="326"/>
      <c r="D526" s="315"/>
      <c r="E526" s="321"/>
      <c r="F526" s="322"/>
      <c r="G526" s="315"/>
    </row>
    <row r="527" spans="1:7" s="32" customFormat="1" x14ac:dyDescent="0.25">
      <c r="A527" s="315"/>
      <c r="B527" s="315"/>
      <c r="C527" s="326"/>
      <c r="D527" s="315"/>
      <c r="E527" s="321"/>
      <c r="F527" s="322"/>
      <c r="G527" s="315"/>
    </row>
    <row r="528" spans="1:7" s="32" customFormat="1" x14ac:dyDescent="0.25">
      <c r="A528" s="315"/>
      <c r="B528" s="315"/>
      <c r="C528" s="326"/>
      <c r="D528" s="315"/>
      <c r="E528" s="321"/>
      <c r="F528" s="322"/>
      <c r="G528" s="315"/>
    </row>
    <row r="529" spans="1:7" s="32" customFormat="1" x14ac:dyDescent="0.25">
      <c r="A529" s="315"/>
      <c r="B529" s="315"/>
      <c r="C529" s="326"/>
      <c r="D529" s="315"/>
      <c r="E529" s="321"/>
      <c r="F529" s="322"/>
      <c r="G529" s="315"/>
    </row>
    <row r="530" spans="1:7" s="32" customFormat="1" x14ac:dyDescent="0.25">
      <c r="A530" s="315"/>
      <c r="B530" s="315"/>
      <c r="C530" s="326"/>
      <c r="D530" s="315"/>
      <c r="E530" s="321"/>
      <c r="F530" s="322"/>
      <c r="G530" s="315"/>
    </row>
    <row r="531" spans="1:7" s="32" customFormat="1" x14ac:dyDescent="0.25">
      <c r="A531" s="315"/>
      <c r="B531" s="315"/>
      <c r="C531" s="326"/>
      <c r="D531" s="315"/>
      <c r="E531" s="321"/>
      <c r="F531" s="322"/>
      <c r="G531" s="315"/>
    </row>
    <row r="532" spans="1:7" s="32" customFormat="1" x14ac:dyDescent="0.25">
      <c r="A532" s="315"/>
      <c r="B532" s="315"/>
      <c r="C532" s="326"/>
      <c r="D532" s="315"/>
      <c r="E532" s="321"/>
      <c r="F532" s="322"/>
      <c r="G532" s="315"/>
    </row>
    <row r="533" spans="1:7" s="32" customFormat="1" x14ac:dyDescent="0.25">
      <c r="A533" s="315"/>
      <c r="B533" s="315"/>
      <c r="C533" s="326"/>
      <c r="D533" s="315"/>
      <c r="E533" s="321"/>
      <c r="F533" s="322"/>
      <c r="G533" s="315"/>
    </row>
    <row r="534" spans="1:7" s="32" customFormat="1" x14ac:dyDescent="0.25">
      <c r="A534" s="315"/>
      <c r="B534" s="315"/>
      <c r="C534" s="326"/>
      <c r="D534" s="315"/>
      <c r="E534" s="321"/>
      <c r="F534" s="322"/>
      <c r="G534" s="315"/>
    </row>
    <row r="535" spans="1:7" s="32" customFormat="1" x14ac:dyDescent="0.25">
      <c r="A535" s="315"/>
      <c r="B535" s="315"/>
      <c r="C535" s="326"/>
      <c r="D535" s="315"/>
      <c r="E535" s="321"/>
      <c r="F535" s="322"/>
      <c r="G535" s="315"/>
    </row>
    <row r="536" spans="1:7" s="32" customFormat="1" x14ac:dyDescent="0.25">
      <c r="A536" s="315"/>
      <c r="B536" s="315"/>
      <c r="C536" s="326"/>
      <c r="D536" s="315"/>
      <c r="E536" s="321"/>
      <c r="F536" s="322"/>
      <c r="G536" s="315"/>
    </row>
    <row r="537" spans="1:7" s="32" customFormat="1" x14ac:dyDescent="0.25">
      <c r="A537" s="315"/>
      <c r="B537" s="315"/>
      <c r="C537" s="326"/>
      <c r="D537" s="315"/>
      <c r="E537" s="321"/>
      <c r="F537" s="322"/>
      <c r="G537" s="315"/>
    </row>
    <row r="538" spans="1:7" s="32" customFormat="1" x14ac:dyDescent="0.25">
      <c r="A538" s="315"/>
      <c r="B538" s="315"/>
      <c r="C538" s="326"/>
      <c r="D538" s="315"/>
      <c r="E538" s="321"/>
      <c r="F538" s="322"/>
      <c r="G538" s="315"/>
    </row>
    <row r="539" spans="1:7" s="32" customFormat="1" x14ac:dyDescent="0.25">
      <c r="A539" s="315"/>
      <c r="B539" s="315"/>
      <c r="C539" s="326"/>
      <c r="D539" s="315"/>
      <c r="E539" s="321"/>
      <c r="F539" s="322"/>
      <c r="G539" s="315"/>
    </row>
    <row r="540" spans="1:7" s="32" customFormat="1" x14ac:dyDescent="0.25">
      <c r="A540" s="315"/>
      <c r="B540" s="315"/>
      <c r="C540" s="326"/>
      <c r="D540" s="315"/>
      <c r="E540" s="321"/>
      <c r="F540" s="322"/>
      <c r="G540" s="315"/>
    </row>
    <row r="541" spans="1:7" s="32" customFormat="1" x14ac:dyDescent="0.25">
      <c r="A541" s="315"/>
      <c r="B541" s="315"/>
      <c r="C541" s="326"/>
      <c r="D541" s="315"/>
      <c r="E541" s="321"/>
      <c r="F541" s="322"/>
      <c r="G541" s="315"/>
    </row>
    <row r="542" spans="1:7" s="32" customFormat="1" x14ac:dyDescent="0.25">
      <c r="A542" s="315"/>
      <c r="B542" s="315"/>
      <c r="C542" s="326"/>
      <c r="D542" s="315"/>
      <c r="E542" s="321"/>
      <c r="F542" s="322"/>
      <c r="G542" s="315"/>
    </row>
    <row r="543" spans="1:7" s="32" customFormat="1" x14ac:dyDescent="0.25">
      <c r="A543" s="315"/>
      <c r="B543" s="315"/>
      <c r="C543" s="326"/>
      <c r="D543" s="315"/>
      <c r="E543" s="321"/>
      <c r="F543" s="322"/>
      <c r="G543" s="315"/>
    </row>
    <row r="544" spans="1:7" s="32" customFormat="1" x14ac:dyDescent="0.25">
      <c r="A544" s="315"/>
      <c r="B544" s="315"/>
      <c r="C544" s="326"/>
      <c r="D544" s="315"/>
      <c r="E544" s="321"/>
      <c r="F544" s="322"/>
      <c r="G544" s="315"/>
    </row>
    <row r="545" spans="1:7" s="32" customFormat="1" x14ac:dyDescent="0.25">
      <c r="A545" s="315"/>
      <c r="B545" s="315"/>
      <c r="C545" s="326"/>
      <c r="D545" s="315"/>
      <c r="E545" s="321"/>
      <c r="F545" s="322"/>
      <c r="G545" s="315"/>
    </row>
    <row r="546" spans="1:7" s="32" customFormat="1" x14ac:dyDescent="0.25">
      <c r="A546" s="315"/>
      <c r="B546" s="315"/>
      <c r="C546" s="326"/>
      <c r="D546" s="315"/>
      <c r="E546" s="321"/>
      <c r="F546" s="322"/>
      <c r="G546" s="315"/>
    </row>
    <row r="547" spans="1:7" s="32" customFormat="1" x14ac:dyDescent="0.25">
      <c r="A547" s="315"/>
      <c r="B547" s="315"/>
      <c r="C547" s="326"/>
      <c r="D547" s="315"/>
      <c r="E547" s="321"/>
      <c r="F547" s="322"/>
      <c r="G547" s="315"/>
    </row>
    <row r="548" spans="1:7" s="32" customFormat="1" x14ac:dyDescent="0.25">
      <c r="A548" s="315"/>
      <c r="B548" s="315"/>
      <c r="C548" s="326"/>
      <c r="D548" s="315"/>
      <c r="E548" s="321"/>
      <c r="F548" s="322"/>
      <c r="G548" s="315"/>
    </row>
    <row r="549" spans="1:7" s="32" customFormat="1" x14ac:dyDescent="0.25">
      <c r="A549" s="315"/>
      <c r="B549" s="315"/>
      <c r="C549" s="326"/>
      <c r="D549" s="315"/>
      <c r="E549" s="321"/>
      <c r="F549" s="322"/>
      <c r="G549" s="315"/>
    </row>
    <row r="550" spans="1:7" s="32" customFormat="1" x14ac:dyDescent="0.25">
      <c r="A550" s="315"/>
      <c r="B550" s="315"/>
      <c r="C550" s="326"/>
      <c r="D550" s="315"/>
      <c r="E550" s="321"/>
      <c r="F550" s="322"/>
      <c r="G550" s="315"/>
    </row>
    <row r="551" spans="1:7" s="32" customFormat="1" x14ac:dyDescent="0.25">
      <c r="A551" s="315"/>
      <c r="B551" s="315"/>
      <c r="C551" s="326"/>
      <c r="D551" s="315"/>
      <c r="E551" s="321"/>
      <c r="F551" s="322"/>
      <c r="G551" s="315"/>
    </row>
    <row r="552" spans="1:7" s="32" customFormat="1" x14ac:dyDescent="0.25">
      <c r="A552" s="315"/>
      <c r="B552" s="315"/>
      <c r="C552" s="326"/>
      <c r="D552" s="315"/>
      <c r="E552" s="321"/>
      <c r="F552" s="322"/>
      <c r="G552" s="315"/>
    </row>
    <row r="553" spans="1:7" s="32" customFormat="1" x14ac:dyDescent="0.25">
      <c r="A553" s="315"/>
      <c r="B553" s="315"/>
      <c r="C553" s="326"/>
      <c r="D553" s="315"/>
      <c r="E553" s="321"/>
      <c r="F553" s="322"/>
      <c r="G553" s="315"/>
    </row>
    <row r="554" spans="1:7" s="32" customFormat="1" x14ac:dyDescent="0.25">
      <c r="A554" s="315"/>
      <c r="B554" s="315"/>
      <c r="C554" s="326"/>
      <c r="D554" s="315"/>
      <c r="E554" s="321"/>
      <c r="F554" s="322"/>
      <c r="G554" s="315"/>
    </row>
    <row r="555" spans="1:7" s="32" customFormat="1" x14ac:dyDescent="0.25">
      <c r="A555" s="315"/>
      <c r="B555" s="315"/>
      <c r="C555" s="326"/>
      <c r="D555" s="315"/>
      <c r="E555" s="321"/>
      <c r="F555" s="322"/>
      <c r="G555" s="315"/>
    </row>
    <row r="556" spans="1:7" s="32" customFormat="1" x14ac:dyDescent="0.25">
      <c r="A556" s="315"/>
      <c r="B556" s="315"/>
      <c r="C556" s="326"/>
      <c r="D556" s="315"/>
      <c r="E556" s="321"/>
      <c r="F556" s="322"/>
      <c r="G556" s="315"/>
    </row>
    <row r="557" spans="1:7" s="32" customFormat="1" x14ac:dyDescent="0.25">
      <c r="A557" s="315"/>
      <c r="B557" s="315"/>
      <c r="C557" s="326"/>
      <c r="D557" s="315"/>
      <c r="E557" s="321"/>
      <c r="F557" s="322"/>
      <c r="G557" s="315"/>
    </row>
    <row r="558" spans="1:7" s="32" customFormat="1" x14ac:dyDescent="0.25">
      <c r="A558" s="315"/>
      <c r="B558" s="315"/>
      <c r="C558" s="326"/>
      <c r="D558" s="315"/>
      <c r="E558" s="321"/>
      <c r="F558" s="322"/>
      <c r="G558" s="315"/>
    </row>
    <row r="559" spans="1:7" s="32" customFormat="1" x14ac:dyDescent="0.25">
      <c r="A559" s="315"/>
      <c r="B559" s="315"/>
      <c r="C559" s="326"/>
      <c r="D559" s="315"/>
      <c r="E559" s="321"/>
      <c r="F559" s="322"/>
      <c r="G559" s="315"/>
    </row>
    <row r="560" spans="1:7" s="32" customFormat="1" x14ac:dyDescent="0.25">
      <c r="A560" s="315"/>
      <c r="B560" s="315"/>
      <c r="C560" s="326"/>
      <c r="D560" s="315"/>
      <c r="E560" s="321"/>
      <c r="F560" s="322"/>
      <c r="G560" s="315"/>
    </row>
    <row r="561" spans="1:7" s="32" customFormat="1" x14ac:dyDescent="0.25">
      <c r="A561" s="315"/>
      <c r="B561" s="315"/>
      <c r="C561" s="326"/>
      <c r="D561" s="315"/>
      <c r="E561" s="321"/>
      <c r="F561" s="322"/>
      <c r="G561" s="315"/>
    </row>
    <row r="562" spans="1:7" s="32" customFormat="1" x14ac:dyDescent="0.25">
      <c r="A562" s="315"/>
      <c r="B562" s="315"/>
      <c r="C562" s="326"/>
      <c r="D562" s="315"/>
      <c r="E562" s="321"/>
      <c r="F562" s="322"/>
      <c r="G562" s="315"/>
    </row>
    <row r="563" spans="1:7" s="32" customFormat="1" x14ac:dyDescent="0.25">
      <c r="A563" s="315"/>
      <c r="B563" s="315"/>
      <c r="C563" s="326"/>
      <c r="D563" s="315"/>
      <c r="E563" s="321"/>
      <c r="F563" s="322"/>
      <c r="G563" s="315"/>
    </row>
    <row r="564" spans="1:7" s="32" customFormat="1" x14ac:dyDescent="0.25">
      <c r="A564" s="315"/>
      <c r="B564" s="315"/>
      <c r="C564" s="326"/>
      <c r="D564" s="315"/>
      <c r="E564" s="321"/>
      <c r="F564" s="322"/>
      <c r="G564" s="315"/>
    </row>
    <row r="565" spans="1:7" s="32" customFormat="1" x14ac:dyDescent="0.25">
      <c r="A565" s="315"/>
      <c r="B565" s="315"/>
      <c r="C565" s="326"/>
      <c r="D565" s="315"/>
      <c r="E565" s="321"/>
      <c r="F565" s="322"/>
      <c r="G565" s="315"/>
    </row>
    <row r="566" spans="1:7" s="32" customFormat="1" x14ac:dyDescent="0.25">
      <c r="A566" s="315"/>
      <c r="B566" s="315"/>
      <c r="C566" s="326"/>
      <c r="D566" s="315"/>
      <c r="E566" s="321"/>
      <c r="F566" s="322"/>
      <c r="G566" s="315"/>
    </row>
    <row r="567" spans="1:7" s="32" customFormat="1" x14ac:dyDescent="0.25">
      <c r="A567" s="315"/>
      <c r="B567" s="315"/>
      <c r="C567" s="326"/>
      <c r="D567" s="315"/>
      <c r="E567" s="321"/>
      <c r="F567" s="322"/>
      <c r="G567" s="315"/>
    </row>
    <row r="568" spans="1:7" s="32" customFormat="1" x14ac:dyDescent="0.25">
      <c r="A568" s="315"/>
      <c r="B568" s="315"/>
      <c r="C568" s="326"/>
      <c r="D568" s="315"/>
      <c r="E568" s="321"/>
      <c r="F568" s="322"/>
      <c r="G568" s="315"/>
    </row>
    <row r="569" spans="1:7" s="32" customFormat="1" x14ac:dyDescent="0.25">
      <c r="A569" s="315"/>
      <c r="B569" s="315"/>
      <c r="C569" s="326"/>
      <c r="D569" s="315"/>
      <c r="E569" s="321"/>
      <c r="F569" s="322"/>
      <c r="G569" s="315"/>
    </row>
    <row r="570" spans="1:7" s="32" customFormat="1" x14ac:dyDescent="0.25">
      <c r="A570" s="315"/>
      <c r="B570" s="315"/>
      <c r="C570" s="326"/>
      <c r="D570" s="315"/>
      <c r="E570" s="321"/>
      <c r="F570" s="322"/>
      <c r="G570" s="315"/>
    </row>
    <row r="571" spans="1:7" s="32" customFormat="1" x14ac:dyDescent="0.25">
      <c r="A571" s="315"/>
      <c r="B571" s="315"/>
      <c r="C571" s="326"/>
      <c r="D571" s="315"/>
      <c r="E571" s="321"/>
      <c r="F571" s="322"/>
      <c r="G571" s="315"/>
    </row>
    <row r="572" spans="1:7" s="32" customFormat="1" x14ac:dyDescent="0.25">
      <c r="A572" s="315"/>
      <c r="B572" s="315"/>
      <c r="C572" s="326"/>
      <c r="D572" s="315"/>
      <c r="E572" s="321"/>
      <c r="F572" s="322"/>
      <c r="G572" s="315"/>
    </row>
    <row r="573" spans="1:7" s="32" customFormat="1" x14ac:dyDescent="0.25">
      <c r="A573" s="315"/>
      <c r="B573" s="315"/>
      <c r="C573" s="326"/>
      <c r="D573" s="315"/>
      <c r="E573" s="321"/>
      <c r="F573" s="322"/>
      <c r="G573" s="315"/>
    </row>
    <row r="574" spans="1:7" s="32" customFormat="1" x14ac:dyDescent="0.25">
      <c r="A574" s="315"/>
      <c r="B574" s="315"/>
      <c r="C574" s="326"/>
      <c r="D574" s="315"/>
      <c r="E574" s="321"/>
      <c r="F574" s="322"/>
      <c r="G574" s="315"/>
    </row>
    <row r="575" spans="1:7" s="32" customFormat="1" x14ac:dyDescent="0.25">
      <c r="A575" s="315"/>
      <c r="B575" s="315"/>
      <c r="C575" s="326"/>
      <c r="D575" s="315"/>
      <c r="E575" s="321"/>
      <c r="F575" s="322"/>
      <c r="G575" s="315"/>
    </row>
    <row r="576" spans="1:7" s="32" customFormat="1" x14ac:dyDescent="0.25">
      <c r="A576" s="315"/>
      <c r="B576" s="315"/>
      <c r="C576" s="326"/>
      <c r="D576" s="315"/>
      <c r="E576" s="321"/>
      <c r="F576" s="322"/>
      <c r="G576" s="315"/>
    </row>
    <row r="577" spans="1:7" s="32" customFormat="1" x14ac:dyDescent="0.25">
      <c r="A577" s="315"/>
      <c r="B577" s="315"/>
      <c r="C577" s="326"/>
      <c r="D577" s="315"/>
      <c r="E577" s="321"/>
      <c r="F577" s="322"/>
      <c r="G577" s="315"/>
    </row>
    <row r="578" spans="1:7" s="32" customFormat="1" x14ac:dyDescent="0.25">
      <c r="A578" s="315"/>
      <c r="B578" s="315"/>
      <c r="C578" s="326"/>
      <c r="D578" s="315"/>
      <c r="E578" s="321"/>
      <c r="F578" s="322"/>
      <c r="G578" s="315"/>
    </row>
    <row r="579" spans="1:7" s="32" customFormat="1" x14ac:dyDescent="0.25">
      <c r="A579" s="315"/>
      <c r="B579" s="315"/>
      <c r="C579" s="326"/>
      <c r="D579" s="315"/>
      <c r="E579" s="321"/>
      <c r="F579" s="322"/>
      <c r="G579" s="315"/>
    </row>
    <row r="580" spans="1:7" s="32" customFormat="1" x14ac:dyDescent="0.25">
      <c r="A580" s="315"/>
      <c r="B580" s="315"/>
      <c r="C580" s="326"/>
      <c r="D580" s="315"/>
      <c r="E580" s="321"/>
      <c r="F580" s="322"/>
      <c r="G580" s="315"/>
    </row>
    <row r="581" spans="1:7" s="32" customFormat="1" x14ac:dyDescent="0.25">
      <c r="A581" s="315"/>
      <c r="B581" s="315"/>
      <c r="C581" s="326"/>
      <c r="D581" s="315"/>
      <c r="E581" s="321"/>
      <c r="F581" s="322"/>
      <c r="G581" s="315"/>
    </row>
    <row r="582" spans="1:7" s="32" customFormat="1" x14ac:dyDescent="0.25">
      <c r="A582" s="315"/>
      <c r="B582" s="315"/>
      <c r="C582" s="326"/>
      <c r="D582" s="315"/>
      <c r="E582" s="321"/>
      <c r="F582" s="322"/>
      <c r="G582" s="315"/>
    </row>
    <row r="583" spans="1:7" s="32" customFormat="1" x14ac:dyDescent="0.25">
      <c r="A583" s="315"/>
      <c r="B583" s="315"/>
      <c r="C583" s="326"/>
      <c r="D583" s="315"/>
      <c r="E583" s="321"/>
      <c r="F583" s="322"/>
      <c r="G583" s="315"/>
    </row>
    <row r="584" spans="1:7" s="32" customFormat="1" x14ac:dyDescent="0.25">
      <c r="A584" s="315"/>
      <c r="B584" s="315"/>
      <c r="C584" s="326"/>
      <c r="D584" s="315"/>
      <c r="E584" s="321"/>
      <c r="F584" s="322"/>
      <c r="G584" s="315"/>
    </row>
    <row r="585" spans="1:7" s="32" customFormat="1" x14ac:dyDescent="0.25">
      <c r="A585" s="315"/>
      <c r="B585" s="315"/>
      <c r="C585" s="326"/>
      <c r="D585" s="315"/>
      <c r="E585" s="321"/>
      <c r="F585" s="322"/>
      <c r="G585" s="315"/>
    </row>
    <row r="586" spans="1:7" s="32" customFormat="1" x14ac:dyDescent="0.25">
      <c r="A586" s="315"/>
      <c r="B586" s="315"/>
      <c r="C586" s="326"/>
      <c r="D586" s="315"/>
      <c r="E586" s="321"/>
      <c r="F586" s="322"/>
      <c r="G586" s="315"/>
    </row>
    <row r="587" spans="1:7" s="32" customFormat="1" x14ac:dyDescent="0.25">
      <c r="A587" s="315"/>
      <c r="B587" s="315"/>
      <c r="C587" s="326"/>
      <c r="D587" s="315"/>
      <c r="E587" s="321"/>
      <c r="F587" s="322"/>
      <c r="G587" s="315"/>
    </row>
    <row r="588" spans="1:7" s="32" customFormat="1" x14ac:dyDescent="0.25">
      <c r="A588" s="315"/>
      <c r="B588" s="315"/>
      <c r="C588" s="326"/>
      <c r="D588" s="315"/>
      <c r="E588" s="321"/>
      <c r="F588" s="322"/>
      <c r="G588" s="315"/>
    </row>
    <row r="589" spans="1:7" s="32" customFormat="1" x14ac:dyDescent="0.25">
      <c r="A589" s="315"/>
      <c r="B589" s="315"/>
      <c r="C589" s="326"/>
      <c r="D589" s="315"/>
      <c r="E589" s="321"/>
      <c r="F589" s="322"/>
      <c r="G589" s="315"/>
    </row>
    <row r="590" spans="1:7" s="32" customFormat="1" x14ac:dyDescent="0.25">
      <c r="A590" s="315"/>
      <c r="B590" s="315"/>
      <c r="C590" s="326"/>
      <c r="D590" s="315"/>
      <c r="E590" s="321"/>
      <c r="F590" s="322"/>
      <c r="G590" s="315"/>
    </row>
    <row r="591" spans="1:7" s="32" customFormat="1" x14ac:dyDescent="0.25">
      <c r="A591" s="315"/>
      <c r="B591" s="315"/>
      <c r="C591" s="326"/>
      <c r="D591" s="315"/>
      <c r="E591" s="321"/>
      <c r="F591" s="322"/>
      <c r="G591" s="315"/>
    </row>
    <row r="592" spans="1:7" s="32" customFormat="1" x14ac:dyDescent="0.25">
      <c r="A592" s="315"/>
      <c r="B592" s="315"/>
      <c r="C592" s="326"/>
      <c r="D592" s="315"/>
      <c r="E592" s="321"/>
      <c r="F592" s="322"/>
      <c r="G592" s="315"/>
    </row>
    <row r="593" spans="1:7" s="32" customFormat="1" x14ac:dyDescent="0.25">
      <c r="A593" s="315"/>
      <c r="B593" s="315"/>
      <c r="C593" s="326"/>
      <c r="D593" s="315"/>
      <c r="E593" s="321"/>
      <c r="F593" s="322"/>
      <c r="G593" s="315"/>
    </row>
    <row r="594" spans="1:7" s="32" customFormat="1" x14ac:dyDescent="0.25">
      <c r="A594" s="315"/>
      <c r="B594" s="315"/>
      <c r="C594" s="326"/>
      <c r="D594" s="315"/>
      <c r="E594" s="321"/>
      <c r="F594" s="322"/>
      <c r="G594" s="315"/>
    </row>
    <row r="595" spans="1:7" s="32" customFormat="1" x14ac:dyDescent="0.25">
      <c r="A595" s="315"/>
      <c r="B595" s="315"/>
      <c r="C595" s="326"/>
      <c r="D595" s="315"/>
      <c r="E595" s="321"/>
      <c r="F595" s="322"/>
      <c r="G595" s="315"/>
    </row>
    <row r="596" spans="1:7" s="32" customFormat="1" x14ac:dyDescent="0.25">
      <c r="A596" s="315"/>
      <c r="B596" s="315"/>
      <c r="C596" s="326"/>
      <c r="D596" s="315"/>
      <c r="E596" s="321"/>
      <c r="F596" s="322"/>
      <c r="G596" s="315"/>
    </row>
    <row r="597" spans="1:7" s="32" customFormat="1" x14ac:dyDescent="0.25">
      <c r="A597" s="315"/>
      <c r="B597" s="315"/>
      <c r="C597" s="326"/>
      <c r="D597" s="315"/>
      <c r="E597" s="321"/>
      <c r="F597" s="322"/>
      <c r="G597" s="315"/>
    </row>
    <row r="598" spans="1:7" s="32" customFormat="1" x14ac:dyDescent="0.25">
      <c r="A598" s="315"/>
      <c r="B598" s="315"/>
      <c r="C598" s="326"/>
      <c r="D598" s="315"/>
      <c r="E598" s="321"/>
      <c r="F598" s="322"/>
      <c r="G598" s="315"/>
    </row>
    <row r="599" spans="1:7" s="32" customFormat="1" x14ac:dyDescent="0.25">
      <c r="A599" s="315"/>
      <c r="B599" s="315"/>
      <c r="C599" s="326"/>
      <c r="D599" s="315"/>
      <c r="E599" s="321"/>
      <c r="F599" s="322"/>
      <c r="G599" s="315"/>
    </row>
    <row r="600" spans="1:7" s="32" customFormat="1" x14ac:dyDescent="0.25">
      <c r="A600" s="315"/>
      <c r="B600" s="315"/>
      <c r="C600" s="326"/>
      <c r="D600" s="315"/>
      <c r="E600" s="321"/>
      <c r="F600" s="322"/>
      <c r="G600" s="315"/>
    </row>
    <row r="601" spans="1:7" s="32" customFormat="1" x14ac:dyDescent="0.25">
      <c r="A601" s="315"/>
      <c r="B601" s="315"/>
      <c r="C601" s="326"/>
      <c r="D601" s="315"/>
      <c r="E601" s="321"/>
      <c r="F601" s="322"/>
      <c r="G601" s="315"/>
    </row>
    <row r="602" spans="1:7" s="32" customFormat="1" x14ac:dyDescent="0.25">
      <c r="A602" s="315"/>
      <c r="B602" s="315"/>
      <c r="C602" s="326"/>
      <c r="D602" s="315"/>
      <c r="E602" s="321"/>
      <c r="F602" s="322"/>
      <c r="G602" s="315"/>
    </row>
    <row r="603" spans="1:7" s="32" customFormat="1" x14ac:dyDescent="0.25">
      <c r="A603" s="315"/>
      <c r="B603" s="315"/>
      <c r="C603" s="326"/>
      <c r="D603" s="315"/>
      <c r="E603" s="321"/>
      <c r="F603" s="322"/>
      <c r="G603" s="315"/>
    </row>
    <row r="604" spans="1:7" s="32" customFormat="1" x14ac:dyDescent="0.25">
      <c r="A604" s="315"/>
      <c r="B604" s="315"/>
      <c r="C604" s="326"/>
      <c r="D604" s="315"/>
      <c r="E604" s="321"/>
      <c r="F604" s="322"/>
      <c r="G604" s="315"/>
    </row>
    <row r="605" spans="1:7" s="32" customFormat="1" x14ac:dyDescent="0.25">
      <c r="A605" s="315"/>
      <c r="B605" s="315"/>
      <c r="C605" s="326"/>
      <c r="D605" s="315"/>
      <c r="E605" s="321"/>
      <c r="F605" s="322"/>
      <c r="G605" s="315"/>
    </row>
    <row r="606" spans="1:7" s="32" customFormat="1" x14ac:dyDescent="0.25">
      <c r="A606" s="315"/>
      <c r="B606" s="315"/>
      <c r="C606" s="326"/>
      <c r="D606" s="315"/>
      <c r="E606" s="321"/>
      <c r="F606" s="322"/>
      <c r="G606" s="315"/>
    </row>
    <row r="607" spans="1:7" s="32" customFormat="1" x14ac:dyDescent="0.25">
      <c r="A607" s="315"/>
      <c r="B607" s="315"/>
      <c r="C607" s="326"/>
      <c r="D607" s="315"/>
      <c r="E607" s="321"/>
      <c r="F607" s="322"/>
      <c r="G607" s="315"/>
    </row>
    <row r="608" spans="1:7" s="32" customFormat="1" x14ac:dyDescent="0.25">
      <c r="A608" s="315"/>
      <c r="B608" s="315"/>
      <c r="C608" s="326"/>
      <c r="D608" s="315"/>
      <c r="E608" s="321"/>
      <c r="F608" s="322"/>
      <c r="G608" s="315"/>
    </row>
    <row r="609" spans="1:7" s="32" customFormat="1" x14ac:dyDescent="0.25">
      <c r="A609" s="315"/>
      <c r="B609" s="315"/>
      <c r="C609" s="326"/>
      <c r="D609" s="315"/>
      <c r="E609" s="321"/>
      <c r="F609" s="322"/>
      <c r="G609" s="315"/>
    </row>
    <row r="610" spans="1:7" s="32" customFormat="1" x14ac:dyDescent="0.25">
      <c r="A610" s="315"/>
      <c r="B610" s="315"/>
      <c r="C610" s="326"/>
      <c r="D610" s="315"/>
      <c r="E610" s="321"/>
      <c r="F610" s="322"/>
      <c r="G610" s="315"/>
    </row>
    <row r="611" spans="1:7" s="32" customFormat="1" x14ac:dyDescent="0.25">
      <c r="A611" s="315"/>
      <c r="B611" s="315"/>
      <c r="C611" s="326"/>
      <c r="D611" s="315"/>
      <c r="E611" s="321"/>
      <c r="F611" s="322"/>
      <c r="G611" s="315"/>
    </row>
    <row r="612" spans="1:7" s="32" customFormat="1" x14ac:dyDescent="0.25">
      <c r="A612" s="315"/>
      <c r="B612" s="315"/>
      <c r="C612" s="326"/>
      <c r="D612" s="315"/>
      <c r="E612" s="321"/>
      <c r="F612" s="322"/>
      <c r="G612" s="315"/>
    </row>
    <row r="613" spans="1:7" s="32" customFormat="1" x14ac:dyDescent="0.25">
      <c r="A613" s="315"/>
      <c r="B613" s="315"/>
      <c r="C613" s="326"/>
      <c r="D613" s="315"/>
      <c r="E613" s="321"/>
      <c r="F613" s="322"/>
      <c r="G613" s="315"/>
    </row>
    <row r="614" spans="1:7" s="32" customFormat="1" x14ac:dyDescent="0.25">
      <c r="A614" s="315"/>
      <c r="B614" s="315"/>
      <c r="C614" s="326"/>
      <c r="D614" s="315"/>
      <c r="E614" s="321"/>
      <c r="F614" s="322"/>
      <c r="G614" s="315"/>
    </row>
    <row r="615" spans="1:7" s="32" customFormat="1" x14ac:dyDescent="0.25">
      <c r="A615" s="315"/>
      <c r="B615" s="315"/>
      <c r="C615" s="326"/>
      <c r="D615" s="315"/>
      <c r="E615" s="321"/>
      <c r="F615" s="322"/>
      <c r="G615" s="315"/>
    </row>
    <row r="616" spans="1:7" s="32" customFormat="1" x14ac:dyDescent="0.25">
      <c r="A616" s="315"/>
      <c r="B616" s="315"/>
      <c r="C616" s="326"/>
      <c r="D616" s="315"/>
      <c r="E616" s="321"/>
      <c r="F616" s="322"/>
      <c r="G616" s="315"/>
    </row>
    <row r="617" spans="1:7" s="32" customFormat="1" x14ac:dyDescent="0.25">
      <c r="A617" s="315"/>
      <c r="B617" s="315"/>
      <c r="C617" s="326"/>
      <c r="D617" s="315"/>
      <c r="E617" s="321"/>
      <c r="F617" s="322"/>
      <c r="G617" s="315"/>
    </row>
    <row r="618" spans="1:7" s="32" customFormat="1" x14ac:dyDescent="0.25">
      <c r="A618" s="315"/>
      <c r="B618" s="315"/>
      <c r="C618" s="326"/>
      <c r="D618" s="315"/>
      <c r="E618" s="321"/>
      <c r="F618" s="322"/>
      <c r="G618" s="315"/>
    </row>
    <row r="619" spans="1:7" s="32" customFormat="1" x14ac:dyDescent="0.25">
      <c r="A619" s="315"/>
      <c r="B619" s="315"/>
      <c r="C619" s="326"/>
      <c r="D619" s="315"/>
      <c r="E619" s="321"/>
      <c r="F619" s="322"/>
      <c r="G619" s="315"/>
    </row>
    <row r="620" spans="1:7" s="32" customFormat="1" x14ac:dyDescent="0.25">
      <c r="A620" s="315"/>
      <c r="B620" s="315"/>
      <c r="C620" s="326"/>
      <c r="D620" s="315"/>
      <c r="E620" s="321"/>
      <c r="F620" s="322"/>
      <c r="G620" s="315"/>
    </row>
    <row r="621" spans="1:7" s="32" customFormat="1" x14ac:dyDescent="0.25">
      <c r="A621" s="315"/>
      <c r="B621" s="315"/>
      <c r="C621" s="326"/>
      <c r="D621" s="315"/>
      <c r="E621" s="321"/>
      <c r="F621" s="322"/>
      <c r="G621" s="315"/>
    </row>
    <row r="622" spans="1:7" s="32" customFormat="1" x14ac:dyDescent="0.25">
      <c r="A622" s="315"/>
      <c r="B622" s="315"/>
      <c r="C622" s="326"/>
      <c r="D622" s="315"/>
      <c r="E622" s="321"/>
      <c r="F622" s="322"/>
      <c r="G622" s="315"/>
    </row>
    <row r="623" spans="1:7" s="32" customFormat="1" x14ac:dyDescent="0.25">
      <c r="A623" s="315"/>
      <c r="B623" s="315"/>
      <c r="C623" s="326"/>
      <c r="D623" s="315"/>
      <c r="E623" s="321"/>
      <c r="F623" s="322"/>
      <c r="G623" s="315"/>
    </row>
    <row r="624" spans="1:7" s="32" customFormat="1" x14ac:dyDescent="0.25">
      <c r="A624" s="315"/>
      <c r="B624" s="315"/>
      <c r="C624" s="326"/>
      <c r="D624" s="315"/>
      <c r="E624" s="321"/>
      <c r="F624" s="322"/>
      <c r="G624" s="315"/>
    </row>
    <row r="625" spans="1:7" s="32" customFormat="1" x14ac:dyDescent="0.25">
      <c r="A625" s="315"/>
      <c r="B625" s="315"/>
      <c r="C625" s="326"/>
      <c r="D625" s="315"/>
      <c r="E625" s="321"/>
      <c r="F625" s="322"/>
      <c r="G625" s="315"/>
    </row>
    <row r="626" spans="1:7" s="32" customFormat="1" x14ac:dyDescent="0.25">
      <c r="A626" s="315"/>
      <c r="B626" s="315"/>
      <c r="C626" s="326"/>
      <c r="D626" s="315"/>
      <c r="E626" s="321"/>
      <c r="F626" s="322"/>
      <c r="G626" s="315"/>
    </row>
    <row r="627" spans="1:7" s="32" customFormat="1" x14ac:dyDescent="0.25">
      <c r="A627" s="315"/>
      <c r="B627" s="315"/>
      <c r="C627" s="326"/>
      <c r="D627" s="315"/>
      <c r="E627" s="321"/>
      <c r="F627" s="322"/>
      <c r="G627" s="315"/>
    </row>
    <row r="628" spans="1:7" s="32" customFormat="1" x14ac:dyDescent="0.25">
      <c r="A628" s="315"/>
      <c r="B628" s="315"/>
      <c r="C628" s="326"/>
      <c r="D628" s="315"/>
      <c r="E628" s="321"/>
      <c r="F628" s="322"/>
      <c r="G628" s="315"/>
    </row>
    <row r="629" spans="1:7" s="32" customFormat="1" x14ac:dyDescent="0.25">
      <c r="A629" s="315"/>
      <c r="B629" s="315"/>
      <c r="C629" s="326"/>
      <c r="D629" s="315"/>
      <c r="E629" s="321"/>
      <c r="F629" s="322"/>
      <c r="G629" s="315"/>
    </row>
    <row r="630" spans="1:7" s="32" customFormat="1" x14ac:dyDescent="0.25">
      <c r="A630" s="315"/>
      <c r="B630" s="315"/>
      <c r="C630" s="326"/>
      <c r="D630" s="315"/>
      <c r="E630" s="321"/>
      <c r="F630" s="322"/>
      <c r="G630" s="315"/>
    </row>
    <row r="631" spans="1:7" s="32" customFormat="1" x14ac:dyDescent="0.25">
      <c r="A631" s="315"/>
      <c r="B631" s="315"/>
      <c r="C631" s="326"/>
      <c r="D631" s="315"/>
      <c r="E631" s="321"/>
      <c r="F631" s="322"/>
      <c r="G631" s="315"/>
    </row>
    <row r="632" spans="1:7" s="32" customFormat="1" x14ac:dyDescent="0.25">
      <c r="A632" s="315"/>
      <c r="B632" s="315"/>
      <c r="C632" s="326"/>
      <c r="D632" s="315"/>
      <c r="E632" s="321"/>
      <c r="F632" s="322"/>
      <c r="G632" s="315"/>
    </row>
    <row r="633" spans="1:7" s="32" customFormat="1" x14ac:dyDescent="0.25">
      <c r="A633" s="315"/>
      <c r="B633" s="315"/>
      <c r="C633" s="326"/>
      <c r="D633" s="315"/>
      <c r="E633" s="321"/>
      <c r="F633" s="322"/>
      <c r="G633" s="315"/>
    </row>
    <row r="634" spans="1:7" s="32" customFormat="1" x14ac:dyDescent="0.25">
      <c r="A634" s="315"/>
      <c r="B634" s="315"/>
      <c r="C634" s="326"/>
      <c r="D634" s="315"/>
      <c r="E634" s="321"/>
      <c r="F634" s="322"/>
      <c r="G634" s="315"/>
    </row>
    <row r="635" spans="1:7" s="32" customFormat="1" x14ac:dyDescent="0.25">
      <c r="A635" s="315"/>
      <c r="B635" s="315"/>
      <c r="C635" s="326"/>
      <c r="D635" s="315"/>
      <c r="E635" s="321"/>
      <c r="F635" s="322"/>
      <c r="G635" s="315"/>
    </row>
    <row r="636" spans="1:7" s="32" customFormat="1" x14ac:dyDescent="0.25">
      <c r="A636" s="315"/>
      <c r="B636" s="315"/>
      <c r="C636" s="326"/>
      <c r="D636" s="315"/>
      <c r="E636" s="321"/>
      <c r="F636" s="322"/>
      <c r="G636" s="315"/>
    </row>
    <row r="637" spans="1:7" s="32" customFormat="1" x14ac:dyDescent="0.25">
      <c r="A637" s="315"/>
      <c r="B637" s="315"/>
      <c r="C637" s="326"/>
      <c r="D637" s="315"/>
      <c r="E637" s="321"/>
      <c r="F637" s="322"/>
      <c r="G637" s="315"/>
    </row>
    <row r="638" spans="1:7" s="32" customFormat="1" x14ac:dyDescent="0.25">
      <c r="A638" s="315"/>
      <c r="B638" s="315"/>
      <c r="C638" s="326"/>
      <c r="D638" s="315"/>
      <c r="E638" s="321"/>
      <c r="F638" s="322"/>
      <c r="G638" s="315"/>
    </row>
    <row r="639" spans="1:7" s="32" customFormat="1" x14ac:dyDescent="0.25">
      <c r="A639" s="315"/>
      <c r="B639" s="315"/>
      <c r="C639" s="326"/>
      <c r="D639" s="315"/>
      <c r="E639" s="321"/>
      <c r="F639" s="322"/>
      <c r="G639" s="315"/>
    </row>
    <row r="640" spans="1:7" s="32" customFormat="1" x14ac:dyDescent="0.25">
      <c r="A640" s="315"/>
      <c r="B640" s="315"/>
      <c r="C640" s="326"/>
      <c r="D640" s="315"/>
      <c r="E640" s="321"/>
      <c r="F640" s="322"/>
      <c r="G640" s="315"/>
    </row>
    <row r="641" spans="1:7" s="32" customFormat="1" x14ac:dyDescent="0.25">
      <c r="A641" s="315"/>
      <c r="B641" s="315"/>
      <c r="C641" s="326"/>
      <c r="D641" s="315"/>
      <c r="E641" s="321"/>
      <c r="F641" s="322"/>
      <c r="G641" s="315"/>
    </row>
    <row r="642" spans="1:7" s="32" customFormat="1" x14ac:dyDescent="0.25">
      <c r="A642" s="315"/>
      <c r="B642" s="315"/>
      <c r="C642" s="326"/>
      <c r="D642" s="315"/>
      <c r="E642" s="321"/>
      <c r="F642" s="322"/>
      <c r="G642" s="315"/>
    </row>
    <row r="643" spans="1:7" s="32" customFormat="1" x14ac:dyDescent="0.25">
      <c r="A643" s="315"/>
      <c r="B643" s="315"/>
      <c r="C643" s="326"/>
      <c r="D643" s="315"/>
      <c r="E643" s="321"/>
      <c r="F643" s="322"/>
      <c r="G643" s="315"/>
    </row>
    <row r="644" spans="1:7" s="32" customFormat="1" x14ac:dyDescent="0.25">
      <c r="A644" s="315"/>
      <c r="B644" s="315"/>
      <c r="C644" s="326"/>
      <c r="D644" s="315"/>
      <c r="E644" s="321"/>
      <c r="F644" s="322"/>
      <c r="G644" s="315"/>
    </row>
    <row r="645" spans="1:7" s="32" customFormat="1" x14ac:dyDescent="0.25">
      <c r="A645" s="315"/>
      <c r="B645" s="315"/>
      <c r="C645" s="326"/>
      <c r="D645" s="315"/>
      <c r="E645" s="321"/>
      <c r="F645" s="322"/>
      <c r="G645" s="315"/>
    </row>
    <row r="646" spans="1:7" s="32" customFormat="1" x14ac:dyDescent="0.25">
      <c r="A646" s="315"/>
      <c r="B646" s="315"/>
      <c r="C646" s="326"/>
      <c r="D646" s="315"/>
      <c r="E646" s="321"/>
      <c r="F646" s="322"/>
      <c r="G646" s="315"/>
    </row>
    <row r="647" spans="1:7" s="32" customFormat="1" x14ac:dyDescent="0.25">
      <c r="A647" s="315"/>
      <c r="B647" s="315"/>
      <c r="C647" s="326"/>
      <c r="D647" s="315"/>
      <c r="E647" s="321"/>
      <c r="F647" s="322"/>
      <c r="G647" s="315"/>
    </row>
    <row r="648" spans="1:7" s="32" customFormat="1" x14ac:dyDescent="0.25">
      <c r="A648" s="315"/>
      <c r="B648" s="315"/>
      <c r="C648" s="326"/>
      <c r="D648" s="315"/>
      <c r="E648" s="321"/>
      <c r="F648" s="322"/>
      <c r="G648" s="315"/>
    </row>
    <row r="649" spans="1:7" s="32" customFormat="1" x14ac:dyDescent="0.25">
      <c r="A649" s="315"/>
      <c r="B649" s="315"/>
      <c r="C649" s="326"/>
      <c r="D649" s="315"/>
      <c r="E649" s="321"/>
      <c r="F649" s="322"/>
      <c r="G649" s="315"/>
    </row>
    <row r="650" spans="1:7" s="32" customFormat="1" x14ac:dyDescent="0.25">
      <c r="A650" s="315"/>
      <c r="B650" s="315"/>
      <c r="C650" s="326"/>
      <c r="D650" s="315"/>
      <c r="E650" s="321"/>
      <c r="F650" s="322"/>
      <c r="G650" s="315"/>
    </row>
    <row r="651" spans="1:7" s="32" customFormat="1" x14ac:dyDescent="0.25">
      <c r="A651" s="315"/>
      <c r="B651" s="315"/>
      <c r="C651" s="326"/>
      <c r="D651" s="315"/>
      <c r="E651" s="321"/>
      <c r="F651" s="322"/>
      <c r="G651" s="315"/>
    </row>
    <row r="652" spans="1:7" s="32" customFormat="1" x14ac:dyDescent="0.25">
      <c r="A652" s="315"/>
      <c r="B652" s="315"/>
      <c r="C652" s="326"/>
      <c r="D652" s="315"/>
      <c r="E652" s="321"/>
      <c r="F652" s="322"/>
      <c r="G652" s="315"/>
    </row>
    <row r="653" spans="1:7" s="32" customFormat="1" x14ac:dyDescent="0.25">
      <c r="A653" s="315"/>
      <c r="B653" s="315"/>
      <c r="C653" s="326"/>
      <c r="D653" s="315"/>
      <c r="E653" s="321"/>
      <c r="F653" s="322"/>
      <c r="G653" s="315"/>
    </row>
    <row r="654" spans="1:7" s="32" customFormat="1" x14ac:dyDescent="0.25">
      <c r="A654" s="315"/>
      <c r="B654" s="315"/>
      <c r="C654" s="326"/>
      <c r="D654" s="315"/>
      <c r="E654" s="321"/>
      <c r="F654" s="322"/>
      <c r="G654" s="315"/>
    </row>
    <row r="655" spans="1:7" s="32" customFormat="1" x14ac:dyDescent="0.25">
      <c r="A655" s="315"/>
      <c r="B655" s="315"/>
      <c r="C655" s="326"/>
      <c r="D655" s="315"/>
      <c r="E655" s="321"/>
      <c r="F655" s="322"/>
      <c r="G655" s="315"/>
    </row>
    <row r="656" spans="1:7" s="32" customFormat="1" x14ac:dyDescent="0.25">
      <c r="A656" s="315"/>
      <c r="B656" s="315"/>
      <c r="C656" s="326"/>
      <c r="D656" s="315"/>
      <c r="E656" s="321"/>
      <c r="F656" s="322"/>
      <c r="G656" s="315"/>
    </row>
    <row r="657" spans="1:7" s="32" customFormat="1" x14ac:dyDescent="0.25">
      <c r="A657" s="315"/>
      <c r="B657" s="315"/>
      <c r="C657" s="326"/>
      <c r="D657" s="315"/>
      <c r="E657" s="321"/>
      <c r="F657" s="322"/>
      <c r="G657" s="315"/>
    </row>
    <row r="658" spans="1:7" s="32" customFormat="1" x14ac:dyDescent="0.25">
      <c r="A658" s="315"/>
      <c r="B658" s="315"/>
      <c r="C658" s="326"/>
      <c r="D658" s="315"/>
      <c r="E658" s="321"/>
      <c r="F658" s="322"/>
      <c r="G658" s="315"/>
    </row>
    <row r="659" spans="1:7" s="32" customFormat="1" x14ac:dyDescent="0.25">
      <c r="A659" s="315"/>
      <c r="B659" s="315"/>
      <c r="C659" s="326"/>
      <c r="D659" s="315"/>
      <c r="E659" s="321"/>
      <c r="F659" s="322"/>
      <c r="G659" s="315"/>
    </row>
    <row r="660" spans="1:7" s="32" customFormat="1" x14ac:dyDescent="0.25">
      <c r="A660" s="315"/>
      <c r="B660" s="315"/>
      <c r="C660" s="326"/>
      <c r="D660" s="315"/>
      <c r="E660" s="321"/>
      <c r="F660" s="322"/>
      <c r="G660" s="315"/>
    </row>
    <row r="661" spans="1:7" s="32" customFormat="1" x14ac:dyDescent="0.25">
      <c r="A661" s="315"/>
      <c r="B661" s="315"/>
      <c r="C661" s="326"/>
      <c r="D661" s="315"/>
      <c r="E661" s="321"/>
      <c r="F661" s="322"/>
      <c r="G661" s="315"/>
    </row>
    <row r="662" spans="1:7" s="32" customFormat="1" x14ac:dyDescent="0.25">
      <c r="A662" s="315"/>
      <c r="B662" s="315"/>
      <c r="C662" s="326"/>
      <c r="D662" s="315"/>
      <c r="E662" s="321"/>
      <c r="F662" s="322"/>
      <c r="G662" s="315"/>
    </row>
    <row r="663" spans="1:7" s="32" customFormat="1" x14ac:dyDescent="0.25">
      <c r="A663" s="315"/>
      <c r="B663" s="315"/>
      <c r="C663" s="326"/>
      <c r="D663" s="315"/>
      <c r="E663" s="321"/>
      <c r="F663" s="322"/>
      <c r="G663" s="315"/>
    </row>
    <row r="664" spans="1:7" s="32" customFormat="1" x14ac:dyDescent="0.25">
      <c r="A664" s="315"/>
      <c r="B664" s="315"/>
      <c r="C664" s="326"/>
      <c r="D664" s="315"/>
      <c r="E664" s="321"/>
      <c r="F664" s="322"/>
      <c r="G664" s="315"/>
    </row>
    <row r="665" spans="1:7" s="32" customFormat="1" x14ac:dyDescent="0.25">
      <c r="A665" s="315"/>
      <c r="B665" s="315"/>
      <c r="C665" s="326"/>
      <c r="D665" s="315"/>
      <c r="E665" s="321"/>
      <c r="F665" s="322"/>
      <c r="G665" s="315"/>
    </row>
    <row r="666" spans="1:7" s="32" customFormat="1" x14ac:dyDescent="0.25">
      <c r="A666" s="315"/>
      <c r="B666" s="315"/>
      <c r="C666" s="326"/>
      <c r="D666" s="315"/>
      <c r="E666" s="321"/>
      <c r="F666" s="322"/>
      <c r="G666" s="315"/>
    </row>
    <row r="667" spans="1:7" s="32" customFormat="1" x14ac:dyDescent="0.25">
      <c r="A667" s="315"/>
      <c r="B667" s="315"/>
      <c r="C667" s="326"/>
      <c r="D667" s="315"/>
      <c r="E667" s="321"/>
      <c r="F667" s="322"/>
      <c r="G667" s="315"/>
    </row>
    <row r="668" spans="1:7" s="32" customFormat="1" x14ac:dyDescent="0.25">
      <c r="A668" s="315"/>
      <c r="B668" s="315"/>
      <c r="C668" s="326"/>
      <c r="D668" s="315"/>
      <c r="E668" s="321"/>
      <c r="F668" s="322"/>
      <c r="G668" s="315"/>
    </row>
    <row r="669" spans="1:7" s="32" customFormat="1" x14ac:dyDescent="0.25">
      <c r="A669" s="315"/>
      <c r="B669" s="315"/>
      <c r="C669" s="326"/>
      <c r="D669" s="315"/>
      <c r="E669" s="321"/>
      <c r="F669" s="322"/>
      <c r="G669" s="315"/>
    </row>
    <row r="670" spans="1:7" s="32" customFormat="1" x14ac:dyDescent="0.25">
      <c r="A670" s="315"/>
      <c r="B670" s="315"/>
      <c r="C670" s="326"/>
      <c r="D670" s="315"/>
      <c r="E670" s="321"/>
      <c r="F670" s="322"/>
      <c r="G670" s="315"/>
    </row>
    <row r="671" spans="1:7" s="32" customFormat="1" x14ac:dyDescent="0.25">
      <c r="A671" s="315"/>
      <c r="B671" s="315"/>
      <c r="C671" s="326"/>
      <c r="D671" s="315"/>
      <c r="E671" s="321"/>
      <c r="F671" s="322"/>
      <c r="G671" s="315"/>
    </row>
    <row r="672" spans="1:7" s="32" customFormat="1" x14ac:dyDescent="0.25">
      <c r="A672" s="315"/>
      <c r="B672" s="315"/>
      <c r="C672" s="326"/>
      <c r="D672" s="315"/>
      <c r="E672" s="321"/>
      <c r="F672" s="322"/>
      <c r="G672" s="315"/>
    </row>
    <row r="673" spans="1:7" s="32" customFormat="1" x14ac:dyDescent="0.25">
      <c r="A673" s="315"/>
      <c r="B673" s="315"/>
      <c r="C673" s="326"/>
      <c r="D673" s="315"/>
      <c r="E673" s="321"/>
      <c r="F673" s="322"/>
      <c r="G673" s="315"/>
    </row>
    <row r="674" spans="1:7" s="32" customFormat="1" x14ac:dyDescent="0.25">
      <c r="A674" s="315"/>
      <c r="B674" s="315"/>
      <c r="C674" s="326"/>
      <c r="D674" s="315"/>
      <c r="E674" s="321"/>
      <c r="F674" s="322"/>
      <c r="G674" s="315"/>
    </row>
    <row r="675" spans="1:7" s="32" customFormat="1" x14ac:dyDescent="0.25">
      <c r="A675" s="315"/>
      <c r="B675" s="315"/>
      <c r="C675" s="326"/>
      <c r="D675" s="315"/>
      <c r="E675" s="321"/>
      <c r="F675" s="322"/>
      <c r="G675" s="315"/>
    </row>
    <row r="676" spans="1:7" s="32" customFormat="1" x14ac:dyDescent="0.25">
      <c r="A676" s="315"/>
      <c r="B676" s="315"/>
      <c r="C676" s="326"/>
      <c r="D676" s="315"/>
      <c r="E676" s="321"/>
      <c r="F676" s="322"/>
      <c r="G676" s="315"/>
    </row>
    <row r="677" spans="1:7" s="32" customFormat="1" x14ac:dyDescent="0.25">
      <c r="A677" s="315"/>
      <c r="B677" s="315"/>
      <c r="C677" s="326"/>
      <c r="D677" s="315"/>
      <c r="E677" s="321"/>
      <c r="F677" s="322"/>
      <c r="G677" s="315"/>
    </row>
    <row r="678" spans="1:7" s="32" customFormat="1" x14ac:dyDescent="0.25">
      <c r="A678" s="315"/>
      <c r="B678" s="315"/>
      <c r="C678" s="326"/>
      <c r="D678" s="315"/>
      <c r="E678" s="321"/>
      <c r="F678" s="322"/>
      <c r="G678" s="315"/>
    </row>
    <row r="679" spans="1:7" s="32" customFormat="1" x14ac:dyDescent="0.25">
      <c r="A679" s="315"/>
      <c r="B679" s="315"/>
      <c r="C679" s="326"/>
      <c r="D679" s="315"/>
      <c r="E679" s="321"/>
      <c r="F679" s="322"/>
      <c r="G679" s="315"/>
    </row>
    <row r="680" spans="1:7" s="32" customFormat="1" x14ac:dyDescent="0.25">
      <c r="A680" s="315"/>
      <c r="B680" s="315"/>
      <c r="C680" s="326"/>
      <c r="D680" s="315"/>
      <c r="E680" s="321"/>
      <c r="F680" s="322"/>
      <c r="G680" s="315"/>
    </row>
    <row r="681" spans="1:7" s="32" customFormat="1" x14ac:dyDescent="0.25">
      <c r="A681" s="315"/>
      <c r="B681" s="315"/>
      <c r="C681" s="326"/>
      <c r="D681" s="315"/>
      <c r="E681" s="321"/>
      <c r="F681" s="322"/>
      <c r="G681" s="315"/>
    </row>
    <row r="682" spans="1:7" s="32" customFormat="1" x14ac:dyDescent="0.25">
      <c r="A682" s="315"/>
      <c r="B682" s="315"/>
      <c r="C682" s="326"/>
      <c r="D682" s="315"/>
      <c r="E682" s="321"/>
      <c r="F682" s="322"/>
      <c r="G682" s="315"/>
    </row>
    <row r="683" spans="1:7" s="32" customFormat="1" x14ac:dyDescent="0.25">
      <c r="A683" s="315"/>
      <c r="B683" s="315"/>
      <c r="C683" s="326"/>
      <c r="D683" s="315"/>
      <c r="E683" s="321"/>
      <c r="F683" s="322"/>
      <c r="G683" s="315"/>
    </row>
    <row r="684" spans="1:7" s="32" customFormat="1" x14ac:dyDescent="0.25">
      <c r="A684" s="315"/>
      <c r="B684" s="315"/>
      <c r="C684" s="326"/>
      <c r="D684" s="315"/>
      <c r="E684" s="321"/>
      <c r="F684" s="322"/>
      <c r="G684" s="315"/>
    </row>
    <row r="685" spans="1:7" s="32" customFormat="1" x14ac:dyDescent="0.25">
      <c r="A685" s="315"/>
      <c r="B685" s="315"/>
      <c r="C685" s="326"/>
      <c r="D685" s="315"/>
      <c r="E685" s="321"/>
      <c r="F685" s="322"/>
      <c r="G685" s="315"/>
    </row>
    <row r="686" spans="1:7" s="32" customFormat="1" x14ac:dyDescent="0.25">
      <c r="A686" s="315"/>
      <c r="B686" s="315"/>
      <c r="C686" s="326"/>
      <c r="D686" s="315"/>
      <c r="E686" s="321"/>
      <c r="F686" s="322"/>
      <c r="G686" s="315"/>
    </row>
    <row r="687" spans="1:7" s="32" customFormat="1" x14ac:dyDescent="0.25">
      <c r="A687" s="315"/>
      <c r="B687" s="315"/>
      <c r="C687" s="326"/>
      <c r="D687" s="315"/>
      <c r="E687" s="321"/>
      <c r="F687" s="322"/>
      <c r="G687" s="315"/>
    </row>
    <row r="688" spans="1:7" s="32" customFormat="1" x14ac:dyDescent="0.25">
      <c r="A688" s="315"/>
      <c r="B688" s="315"/>
      <c r="C688" s="326"/>
      <c r="D688" s="315"/>
      <c r="E688" s="321"/>
      <c r="F688" s="322"/>
      <c r="G688" s="315"/>
    </row>
    <row r="689" spans="1:7" s="32" customFormat="1" x14ac:dyDescent="0.25">
      <c r="A689" s="315"/>
      <c r="B689" s="315"/>
      <c r="C689" s="326"/>
      <c r="D689" s="315"/>
      <c r="E689" s="321"/>
      <c r="F689" s="322"/>
      <c r="G689" s="315"/>
    </row>
    <row r="690" spans="1:7" s="32" customFormat="1" x14ac:dyDescent="0.25">
      <c r="A690" s="315"/>
      <c r="B690" s="315"/>
      <c r="C690" s="326"/>
      <c r="D690" s="315"/>
      <c r="E690" s="321"/>
      <c r="F690" s="322"/>
      <c r="G690" s="315"/>
    </row>
    <row r="691" spans="1:7" s="32" customFormat="1" x14ac:dyDescent="0.25">
      <c r="A691" s="315"/>
      <c r="B691" s="315"/>
      <c r="C691" s="326"/>
      <c r="D691" s="315"/>
      <c r="E691" s="321"/>
      <c r="F691" s="322"/>
      <c r="G691" s="315"/>
    </row>
    <row r="692" spans="1:7" s="32" customFormat="1" x14ac:dyDescent="0.25">
      <c r="A692" s="315"/>
      <c r="B692" s="315"/>
      <c r="C692" s="326"/>
      <c r="D692" s="315"/>
      <c r="E692" s="321"/>
      <c r="F692" s="322"/>
      <c r="G692" s="315"/>
    </row>
    <row r="693" spans="1:7" s="32" customFormat="1" x14ac:dyDescent="0.25">
      <c r="A693" s="315"/>
      <c r="B693" s="315"/>
      <c r="C693" s="326"/>
      <c r="D693" s="315"/>
      <c r="E693" s="321"/>
      <c r="F693" s="322"/>
      <c r="G693" s="315"/>
    </row>
    <row r="694" spans="1:7" s="32" customFormat="1" x14ac:dyDescent="0.25">
      <c r="A694" s="315"/>
      <c r="B694" s="315"/>
      <c r="C694" s="326"/>
      <c r="D694" s="315"/>
      <c r="E694" s="321"/>
      <c r="F694" s="322"/>
      <c r="G694" s="315"/>
    </row>
    <row r="695" spans="1:7" s="32" customFormat="1" x14ac:dyDescent="0.25">
      <c r="A695" s="315"/>
      <c r="B695" s="315"/>
      <c r="C695" s="326"/>
      <c r="D695" s="315"/>
      <c r="E695" s="321"/>
      <c r="F695" s="322"/>
      <c r="G695" s="315"/>
    </row>
    <row r="696" spans="1:7" s="32" customFormat="1" x14ac:dyDescent="0.25">
      <c r="A696" s="315"/>
      <c r="B696" s="315"/>
      <c r="C696" s="326"/>
      <c r="D696" s="315"/>
      <c r="E696" s="321"/>
      <c r="F696" s="322"/>
      <c r="G696" s="315"/>
    </row>
    <row r="697" spans="1:7" s="32" customFormat="1" x14ac:dyDescent="0.25">
      <c r="A697" s="315"/>
      <c r="B697" s="315"/>
      <c r="C697" s="326"/>
      <c r="D697" s="315"/>
      <c r="E697" s="321"/>
      <c r="F697" s="322"/>
      <c r="G697" s="315"/>
    </row>
    <row r="698" spans="1:7" s="32" customFormat="1" x14ac:dyDescent="0.25">
      <c r="A698" s="315"/>
      <c r="B698" s="315"/>
      <c r="C698" s="326"/>
      <c r="D698" s="315"/>
      <c r="E698" s="321"/>
      <c r="F698" s="322"/>
      <c r="G698" s="315"/>
    </row>
    <row r="699" spans="1:7" s="32" customFormat="1" x14ac:dyDescent="0.25">
      <c r="A699" s="315"/>
      <c r="B699" s="315"/>
      <c r="C699" s="326"/>
      <c r="D699" s="315"/>
      <c r="E699" s="321"/>
      <c r="F699" s="322"/>
      <c r="G699" s="315"/>
    </row>
    <row r="700" spans="1:7" s="32" customFormat="1" x14ac:dyDescent="0.25">
      <c r="A700" s="315"/>
      <c r="B700" s="315"/>
      <c r="C700" s="326"/>
      <c r="D700" s="315"/>
      <c r="E700" s="321"/>
      <c r="F700" s="322"/>
      <c r="G700" s="315"/>
    </row>
    <row r="701" spans="1:7" s="32" customFormat="1" x14ac:dyDescent="0.25">
      <c r="A701" s="315"/>
      <c r="B701" s="315"/>
      <c r="C701" s="326"/>
      <c r="D701" s="315"/>
      <c r="E701" s="321"/>
      <c r="F701" s="322"/>
      <c r="G701" s="315"/>
    </row>
    <row r="702" spans="1:7" s="32" customFormat="1" x14ac:dyDescent="0.25">
      <c r="A702" s="315"/>
      <c r="B702" s="315"/>
      <c r="C702" s="326"/>
      <c r="D702" s="315"/>
      <c r="E702" s="321"/>
      <c r="F702" s="322"/>
      <c r="G702" s="315"/>
    </row>
    <row r="703" spans="1:7" s="32" customFormat="1" x14ac:dyDescent="0.25">
      <c r="A703" s="315"/>
      <c r="B703" s="315"/>
      <c r="C703" s="326"/>
      <c r="D703" s="315"/>
      <c r="E703" s="321"/>
      <c r="F703" s="322"/>
      <c r="G703" s="315"/>
    </row>
    <row r="704" spans="1:7" s="32" customFormat="1" x14ac:dyDescent="0.25">
      <c r="A704" s="315"/>
      <c r="B704" s="315"/>
      <c r="C704" s="326"/>
      <c r="D704" s="315"/>
      <c r="E704" s="321"/>
      <c r="F704" s="322"/>
      <c r="G704" s="315"/>
    </row>
    <row r="705" spans="1:7" s="32" customFormat="1" x14ac:dyDescent="0.25">
      <c r="A705" s="315"/>
      <c r="B705" s="315"/>
      <c r="C705" s="326"/>
      <c r="D705" s="315"/>
      <c r="E705" s="321"/>
      <c r="F705" s="322"/>
      <c r="G705" s="315"/>
    </row>
    <row r="706" spans="1:7" s="32" customFormat="1" x14ac:dyDescent="0.25">
      <c r="A706" s="315"/>
      <c r="B706" s="315"/>
      <c r="C706" s="326"/>
      <c r="D706" s="315"/>
      <c r="E706" s="321"/>
      <c r="F706" s="322"/>
      <c r="G706" s="315"/>
    </row>
    <row r="707" spans="1:7" s="32" customFormat="1" x14ac:dyDescent="0.25">
      <c r="A707" s="315"/>
      <c r="B707" s="315"/>
      <c r="C707" s="326"/>
      <c r="D707" s="315"/>
      <c r="E707" s="321"/>
      <c r="F707" s="322"/>
      <c r="G707" s="315"/>
    </row>
    <row r="708" spans="1:7" s="32" customFormat="1" x14ac:dyDescent="0.25">
      <c r="A708" s="315"/>
      <c r="B708" s="315"/>
      <c r="C708" s="326"/>
      <c r="D708" s="315"/>
      <c r="E708" s="321"/>
      <c r="F708" s="322"/>
      <c r="G708" s="315"/>
    </row>
    <row r="709" spans="1:7" s="32" customFormat="1" x14ac:dyDescent="0.25">
      <c r="A709" s="315"/>
      <c r="B709" s="315"/>
      <c r="C709" s="326"/>
      <c r="D709" s="315"/>
      <c r="E709" s="321"/>
      <c r="F709" s="322"/>
      <c r="G709" s="315"/>
    </row>
    <row r="710" spans="1:7" s="32" customFormat="1" x14ac:dyDescent="0.25">
      <c r="A710" s="315"/>
      <c r="B710" s="315"/>
      <c r="C710" s="326"/>
      <c r="D710" s="315"/>
      <c r="E710" s="321"/>
      <c r="F710" s="322"/>
      <c r="G710" s="315"/>
    </row>
    <row r="711" spans="1:7" s="32" customFormat="1" x14ac:dyDescent="0.25">
      <c r="A711" s="315"/>
      <c r="B711" s="315"/>
      <c r="C711" s="326"/>
      <c r="D711" s="315"/>
      <c r="E711" s="321"/>
      <c r="F711" s="322"/>
      <c r="G711" s="315"/>
    </row>
    <row r="712" spans="1:7" s="32" customFormat="1" x14ac:dyDescent="0.25">
      <c r="A712" s="315"/>
      <c r="B712" s="315"/>
      <c r="C712" s="326"/>
      <c r="D712" s="315"/>
      <c r="E712" s="321"/>
      <c r="F712" s="322"/>
      <c r="G712" s="315"/>
    </row>
    <row r="713" spans="1:7" s="32" customFormat="1" x14ac:dyDescent="0.25">
      <c r="A713" s="315"/>
      <c r="B713" s="315"/>
      <c r="C713" s="326"/>
      <c r="D713" s="315"/>
      <c r="E713" s="321"/>
      <c r="F713" s="322"/>
      <c r="G713" s="315"/>
    </row>
    <row r="714" spans="1:7" s="32" customFormat="1" x14ac:dyDescent="0.25">
      <c r="A714" s="315"/>
      <c r="B714" s="315"/>
      <c r="C714" s="326"/>
      <c r="D714" s="315"/>
      <c r="E714" s="321"/>
      <c r="F714" s="322"/>
      <c r="G714" s="315"/>
    </row>
    <row r="715" spans="1:7" s="32" customFormat="1" x14ac:dyDescent="0.25">
      <c r="A715" s="315"/>
      <c r="B715" s="315"/>
      <c r="C715" s="326"/>
      <c r="D715" s="315"/>
      <c r="E715" s="321"/>
      <c r="F715" s="322"/>
      <c r="G715" s="315"/>
    </row>
    <row r="716" spans="1:7" s="32" customFormat="1" x14ac:dyDescent="0.25">
      <c r="A716" s="315"/>
      <c r="B716" s="315"/>
      <c r="C716" s="326"/>
      <c r="D716" s="315"/>
      <c r="E716" s="321"/>
      <c r="F716" s="322"/>
      <c r="G716" s="315"/>
    </row>
    <row r="717" spans="1:7" s="32" customFormat="1" x14ac:dyDescent="0.25">
      <c r="A717" s="315"/>
      <c r="B717" s="315"/>
      <c r="C717" s="326"/>
      <c r="D717" s="315"/>
      <c r="E717" s="321"/>
      <c r="F717" s="322"/>
      <c r="G717" s="315"/>
    </row>
    <row r="718" spans="1:7" s="32" customFormat="1" x14ac:dyDescent="0.25">
      <c r="A718" s="315"/>
      <c r="B718" s="315"/>
      <c r="C718" s="326"/>
      <c r="D718" s="315"/>
      <c r="E718" s="321"/>
      <c r="F718" s="322"/>
      <c r="G718" s="315"/>
    </row>
    <row r="719" spans="1:7" s="32" customFormat="1" x14ac:dyDescent="0.25">
      <c r="A719" s="315"/>
      <c r="B719" s="315"/>
      <c r="C719" s="326"/>
      <c r="D719" s="315"/>
      <c r="E719" s="321"/>
      <c r="F719" s="322"/>
      <c r="G719" s="315"/>
    </row>
    <row r="720" spans="1:7" s="32" customFormat="1" x14ac:dyDescent="0.25">
      <c r="A720" s="315"/>
      <c r="B720" s="315"/>
      <c r="C720" s="326"/>
      <c r="D720" s="315"/>
      <c r="E720" s="321"/>
      <c r="F720" s="322"/>
      <c r="G720" s="315"/>
    </row>
    <row r="721" spans="1:7" s="32" customFormat="1" x14ac:dyDescent="0.25">
      <c r="A721" s="315"/>
      <c r="B721" s="315"/>
      <c r="C721" s="326"/>
      <c r="D721" s="315"/>
      <c r="E721" s="321"/>
      <c r="F721" s="322"/>
      <c r="G721" s="315"/>
    </row>
    <row r="722" spans="1:7" s="32" customFormat="1" x14ac:dyDescent="0.25">
      <c r="A722" s="315"/>
      <c r="B722" s="315"/>
      <c r="C722" s="326"/>
      <c r="D722" s="315"/>
      <c r="E722" s="321"/>
      <c r="F722" s="322"/>
      <c r="G722" s="315"/>
    </row>
    <row r="723" spans="1:7" s="32" customFormat="1" x14ac:dyDescent="0.25">
      <c r="A723" s="315"/>
      <c r="B723" s="315"/>
      <c r="C723" s="326"/>
      <c r="D723" s="315"/>
      <c r="E723" s="321"/>
      <c r="F723" s="322"/>
      <c r="G723" s="315"/>
    </row>
    <row r="724" spans="1:7" s="32" customFormat="1" x14ac:dyDescent="0.25">
      <c r="A724" s="315"/>
      <c r="B724" s="315"/>
      <c r="C724" s="326"/>
      <c r="D724" s="315"/>
      <c r="E724" s="321"/>
      <c r="F724" s="322"/>
      <c r="G724" s="315"/>
    </row>
    <row r="725" spans="1:7" s="32" customFormat="1" x14ac:dyDescent="0.25">
      <c r="A725" s="315"/>
      <c r="B725" s="315"/>
      <c r="C725" s="326"/>
      <c r="D725" s="315"/>
      <c r="E725" s="321"/>
      <c r="F725" s="322"/>
      <c r="G725" s="315"/>
    </row>
    <row r="726" spans="1:7" s="32" customFormat="1" x14ac:dyDescent="0.25">
      <c r="A726" s="315"/>
      <c r="B726" s="315"/>
      <c r="C726" s="326"/>
      <c r="D726" s="315"/>
      <c r="E726" s="321"/>
      <c r="F726" s="322"/>
      <c r="G726" s="315"/>
    </row>
    <row r="727" spans="1:7" s="32" customFormat="1" x14ac:dyDescent="0.25">
      <c r="A727" s="315"/>
      <c r="B727" s="315"/>
      <c r="C727" s="326"/>
      <c r="D727" s="315"/>
      <c r="E727" s="321"/>
      <c r="F727" s="322"/>
      <c r="G727" s="315"/>
    </row>
    <row r="728" spans="1:7" s="32" customFormat="1" x14ac:dyDescent="0.25">
      <c r="A728" s="315"/>
      <c r="B728" s="315"/>
      <c r="C728" s="326"/>
      <c r="D728" s="315"/>
      <c r="E728" s="321"/>
      <c r="F728" s="322"/>
      <c r="G728" s="315"/>
    </row>
    <row r="729" spans="1:7" s="32" customFormat="1" x14ac:dyDescent="0.25">
      <c r="A729" s="315"/>
      <c r="B729" s="315"/>
      <c r="C729" s="326"/>
      <c r="D729" s="315"/>
      <c r="E729" s="321"/>
      <c r="F729" s="322"/>
      <c r="G729" s="315"/>
    </row>
    <row r="730" spans="1:7" s="32" customFormat="1" x14ac:dyDescent="0.25">
      <c r="A730" s="315"/>
      <c r="B730" s="315"/>
      <c r="C730" s="326"/>
      <c r="D730" s="315"/>
      <c r="E730" s="321"/>
      <c r="F730" s="322"/>
      <c r="G730" s="315"/>
    </row>
    <row r="731" spans="1:7" s="32" customFormat="1" x14ac:dyDescent="0.25">
      <c r="A731" s="315"/>
      <c r="B731" s="315"/>
      <c r="C731" s="326"/>
      <c r="D731" s="315"/>
      <c r="E731" s="321"/>
      <c r="F731" s="322"/>
      <c r="G731" s="315"/>
    </row>
    <row r="732" spans="1:7" s="32" customFormat="1" x14ac:dyDescent="0.25">
      <c r="A732" s="315"/>
      <c r="B732" s="315"/>
      <c r="C732" s="326"/>
      <c r="D732" s="315"/>
      <c r="E732" s="321"/>
      <c r="F732" s="322"/>
      <c r="G732" s="315"/>
    </row>
    <row r="733" spans="1:7" s="32" customFormat="1" x14ac:dyDescent="0.25">
      <c r="A733" s="315"/>
      <c r="B733" s="315"/>
      <c r="C733" s="326"/>
      <c r="D733" s="315"/>
      <c r="E733" s="321"/>
      <c r="F733" s="322"/>
      <c r="G733" s="315"/>
    </row>
    <row r="734" spans="1:7" s="32" customFormat="1" x14ac:dyDescent="0.25">
      <c r="A734" s="315"/>
      <c r="B734" s="315"/>
      <c r="C734" s="326"/>
      <c r="D734" s="315"/>
      <c r="E734" s="321"/>
      <c r="F734" s="322"/>
      <c r="G734" s="315"/>
    </row>
    <row r="735" spans="1:7" s="32" customFormat="1" x14ac:dyDescent="0.25">
      <c r="A735" s="315"/>
      <c r="B735" s="315"/>
      <c r="C735" s="326"/>
      <c r="D735" s="315"/>
      <c r="E735" s="321"/>
      <c r="F735" s="322"/>
      <c r="G735" s="315"/>
    </row>
    <row r="736" spans="1:7" s="32" customFormat="1" x14ac:dyDescent="0.25">
      <c r="A736" s="315"/>
      <c r="B736" s="315"/>
      <c r="C736" s="326"/>
      <c r="D736" s="315"/>
      <c r="E736" s="321"/>
      <c r="F736" s="322"/>
      <c r="G736" s="315"/>
    </row>
    <row r="737" spans="1:7" s="32" customFormat="1" x14ac:dyDescent="0.25">
      <c r="A737" s="315"/>
      <c r="B737" s="315"/>
      <c r="C737" s="326"/>
      <c r="D737" s="315"/>
      <c r="E737" s="321"/>
      <c r="F737" s="322"/>
      <c r="G737" s="315"/>
    </row>
    <row r="738" spans="1:7" s="32" customFormat="1" x14ac:dyDescent="0.25">
      <c r="A738" s="315"/>
      <c r="B738" s="315"/>
      <c r="C738" s="326"/>
      <c r="D738" s="315"/>
      <c r="E738" s="321"/>
      <c r="F738" s="322"/>
      <c r="G738" s="315"/>
    </row>
    <row r="739" spans="1:7" s="32" customFormat="1" x14ac:dyDescent="0.25">
      <c r="A739" s="315"/>
      <c r="B739" s="315"/>
      <c r="C739" s="326"/>
      <c r="D739" s="315"/>
      <c r="E739" s="321"/>
      <c r="F739" s="322"/>
      <c r="G739" s="315"/>
    </row>
    <row r="740" spans="1:7" s="32" customFormat="1" x14ac:dyDescent="0.25">
      <c r="A740" s="315"/>
      <c r="B740" s="315"/>
      <c r="C740" s="326"/>
      <c r="D740" s="315"/>
      <c r="E740" s="321"/>
      <c r="F740" s="322"/>
      <c r="G740" s="315"/>
    </row>
    <row r="741" spans="1:7" s="32" customFormat="1" x14ac:dyDescent="0.25">
      <c r="A741" s="315"/>
      <c r="B741" s="315"/>
      <c r="C741" s="326"/>
      <c r="D741" s="315"/>
      <c r="E741" s="321"/>
      <c r="F741" s="322"/>
      <c r="G741" s="315"/>
    </row>
    <row r="742" spans="1:7" s="32" customFormat="1" x14ac:dyDescent="0.25">
      <c r="A742" s="315"/>
      <c r="B742" s="315"/>
      <c r="C742" s="326"/>
      <c r="D742" s="315"/>
      <c r="E742" s="321"/>
      <c r="F742" s="322"/>
      <c r="G742" s="315"/>
    </row>
    <row r="743" spans="1:7" s="32" customFormat="1" x14ac:dyDescent="0.25">
      <c r="A743" s="315"/>
      <c r="B743" s="315"/>
      <c r="C743" s="326"/>
      <c r="D743" s="315"/>
      <c r="E743" s="321"/>
      <c r="F743" s="322"/>
      <c r="G743" s="315"/>
    </row>
    <row r="744" spans="1:7" s="32" customFormat="1" x14ac:dyDescent="0.25">
      <c r="A744" s="315"/>
      <c r="B744" s="315"/>
      <c r="C744" s="326"/>
      <c r="D744" s="315"/>
      <c r="E744" s="321"/>
      <c r="F744" s="322"/>
      <c r="G744" s="315"/>
    </row>
    <row r="745" spans="1:7" s="32" customFormat="1" x14ac:dyDescent="0.25">
      <c r="A745" s="315"/>
      <c r="B745" s="315"/>
      <c r="C745" s="326"/>
      <c r="D745" s="315"/>
      <c r="E745" s="321"/>
      <c r="F745" s="322"/>
      <c r="G745" s="315"/>
    </row>
    <row r="746" spans="1:7" s="32" customFormat="1" x14ac:dyDescent="0.25">
      <c r="A746" s="315"/>
      <c r="B746" s="315"/>
      <c r="C746" s="326"/>
      <c r="D746" s="315"/>
      <c r="E746" s="321"/>
      <c r="F746" s="322"/>
      <c r="G746" s="315"/>
    </row>
    <row r="747" spans="1:7" s="32" customFormat="1" x14ac:dyDescent="0.25">
      <c r="A747" s="315"/>
      <c r="B747" s="315"/>
      <c r="C747" s="326"/>
      <c r="D747" s="315"/>
      <c r="E747" s="321"/>
      <c r="F747" s="322"/>
      <c r="G747" s="315"/>
    </row>
    <row r="748" spans="1:7" s="32" customFormat="1" x14ac:dyDescent="0.25">
      <c r="A748" s="315"/>
      <c r="B748" s="315"/>
      <c r="C748" s="326"/>
      <c r="D748" s="315"/>
      <c r="E748" s="321"/>
      <c r="F748" s="322"/>
      <c r="G748" s="315"/>
    </row>
    <row r="749" spans="1:7" s="32" customFormat="1" x14ac:dyDescent="0.25">
      <c r="A749" s="315"/>
      <c r="B749" s="315"/>
      <c r="C749" s="326"/>
      <c r="D749" s="315"/>
      <c r="E749" s="321"/>
      <c r="F749" s="322"/>
      <c r="G749" s="315"/>
    </row>
    <row r="750" spans="1:7" s="32" customFormat="1" x14ac:dyDescent="0.25">
      <c r="A750" s="315"/>
      <c r="B750" s="315"/>
      <c r="C750" s="326"/>
      <c r="D750" s="315"/>
      <c r="E750" s="321"/>
      <c r="F750" s="322"/>
      <c r="G750" s="315"/>
    </row>
    <row r="751" spans="1:7" s="32" customFormat="1" x14ac:dyDescent="0.25">
      <c r="A751" s="315"/>
      <c r="B751" s="315"/>
      <c r="C751" s="326"/>
      <c r="D751" s="315"/>
      <c r="E751" s="321"/>
      <c r="F751" s="322"/>
      <c r="G751" s="315"/>
    </row>
    <row r="752" spans="1:7" s="32" customFormat="1" x14ac:dyDescent="0.25">
      <c r="A752" s="315"/>
      <c r="B752" s="315"/>
      <c r="C752" s="326"/>
      <c r="D752" s="315"/>
      <c r="E752" s="321"/>
      <c r="F752" s="322"/>
      <c r="G752" s="315"/>
    </row>
    <row r="753" spans="1:7" s="32" customFormat="1" x14ac:dyDescent="0.25">
      <c r="A753" s="315"/>
      <c r="B753" s="315"/>
      <c r="C753" s="326"/>
      <c r="D753" s="315"/>
      <c r="E753" s="321"/>
      <c r="F753" s="322"/>
      <c r="G753" s="315"/>
    </row>
    <row r="754" spans="1:7" s="32" customFormat="1" x14ac:dyDescent="0.25">
      <c r="A754" s="315"/>
      <c r="B754" s="315"/>
      <c r="C754" s="326"/>
      <c r="D754" s="315"/>
      <c r="E754" s="321"/>
      <c r="F754" s="322"/>
      <c r="G754" s="315"/>
    </row>
    <row r="755" spans="1:7" s="32" customFormat="1" x14ac:dyDescent="0.25">
      <c r="A755" s="315"/>
      <c r="B755" s="315"/>
      <c r="C755" s="326"/>
      <c r="D755" s="315"/>
      <c r="E755" s="321"/>
      <c r="F755" s="322"/>
      <c r="G755" s="315"/>
    </row>
    <row r="756" spans="1:7" s="32" customFormat="1" x14ac:dyDescent="0.25">
      <c r="A756" s="315"/>
      <c r="B756" s="315"/>
      <c r="C756" s="326"/>
      <c r="D756" s="315"/>
      <c r="E756" s="321"/>
      <c r="F756" s="322"/>
      <c r="G756" s="315"/>
    </row>
    <row r="757" spans="1:7" s="32" customFormat="1" x14ac:dyDescent="0.25">
      <c r="A757" s="315"/>
      <c r="B757" s="315"/>
      <c r="C757" s="326"/>
      <c r="D757" s="315"/>
      <c r="E757" s="321"/>
      <c r="F757" s="322"/>
      <c r="G757" s="315"/>
    </row>
    <row r="758" spans="1:7" s="32" customFormat="1" x14ac:dyDescent="0.25">
      <c r="A758" s="315"/>
      <c r="B758" s="315"/>
      <c r="C758" s="326"/>
      <c r="D758" s="315"/>
      <c r="E758" s="321"/>
      <c r="F758" s="322"/>
      <c r="G758" s="315"/>
    </row>
    <row r="759" spans="1:7" s="32" customFormat="1" x14ac:dyDescent="0.25">
      <c r="A759" s="315"/>
      <c r="B759" s="315"/>
      <c r="C759" s="326"/>
      <c r="D759" s="315"/>
      <c r="E759" s="321"/>
      <c r="F759" s="322"/>
      <c r="G759" s="315"/>
    </row>
    <row r="760" spans="1:7" s="32" customFormat="1" x14ac:dyDescent="0.25">
      <c r="A760" s="315"/>
      <c r="B760" s="315"/>
      <c r="C760" s="326"/>
      <c r="D760" s="315"/>
      <c r="E760" s="321"/>
      <c r="F760" s="322"/>
      <c r="G760" s="315"/>
    </row>
    <row r="761" spans="1:7" s="32" customFormat="1" x14ac:dyDescent="0.25">
      <c r="A761" s="315"/>
      <c r="B761" s="315"/>
      <c r="C761" s="326"/>
      <c r="D761" s="315"/>
      <c r="E761" s="321"/>
      <c r="F761" s="322"/>
      <c r="G761" s="315"/>
    </row>
    <row r="762" spans="1:7" s="32" customFormat="1" x14ac:dyDescent="0.25">
      <c r="A762" s="315"/>
      <c r="B762" s="315"/>
      <c r="C762" s="326"/>
      <c r="D762" s="315"/>
      <c r="E762" s="321"/>
      <c r="F762" s="322"/>
      <c r="G762" s="315"/>
    </row>
    <row r="763" spans="1:7" s="32" customFormat="1" x14ac:dyDescent="0.25">
      <c r="A763" s="315"/>
      <c r="B763" s="315"/>
      <c r="C763" s="326"/>
      <c r="D763" s="315"/>
      <c r="E763" s="321"/>
      <c r="F763" s="322"/>
      <c r="G763" s="315"/>
    </row>
    <row r="764" spans="1:7" s="32" customFormat="1" x14ac:dyDescent="0.25">
      <c r="A764" s="315"/>
      <c r="B764" s="315"/>
      <c r="C764" s="326"/>
      <c r="D764" s="315"/>
      <c r="E764" s="321"/>
      <c r="F764" s="322"/>
      <c r="G764" s="315"/>
    </row>
    <row r="765" spans="1:7" s="32" customFormat="1" x14ac:dyDescent="0.25">
      <c r="A765" s="315"/>
      <c r="B765" s="315"/>
      <c r="C765" s="326"/>
      <c r="D765" s="315"/>
      <c r="E765" s="321"/>
      <c r="F765" s="322"/>
      <c r="G765" s="315"/>
    </row>
    <row r="766" spans="1:7" s="32" customFormat="1" x14ac:dyDescent="0.25">
      <c r="A766" s="315"/>
      <c r="B766" s="315"/>
      <c r="C766" s="326"/>
      <c r="D766" s="315"/>
      <c r="E766" s="321"/>
      <c r="F766" s="322"/>
      <c r="G766" s="315"/>
    </row>
    <row r="767" spans="1:7" s="32" customFormat="1" x14ac:dyDescent="0.25">
      <c r="A767" s="315"/>
      <c r="B767" s="315"/>
      <c r="C767" s="326"/>
      <c r="D767" s="315"/>
      <c r="E767" s="321"/>
      <c r="F767" s="322"/>
      <c r="G767" s="315"/>
    </row>
    <row r="768" spans="1:7" s="32" customFormat="1" x14ac:dyDescent="0.25">
      <c r="A768" s="315"/>
      <c r="B768" s="315"/>
      <c r="C768" s="326"/>
      <c r="D768" s="315"/>
      <c r="E768" s="321"/>
      <c r="F768" s="322"/>
      <c r="G768" s="315"/>
    </row>
    <row r="769" spans="1:7" s="32" customFormat="1" x14ac:dyDescent="0.25">
      <c r="A769" s="315"/>
      <c r="B769" s="315"/>
      <c r="C769" s="326"/>
      <c r="D769" s="315"/>
      <c r="E769" s="321"/>
      <c r="F769" s="322"/>
      <c r="G769" s="315"/>
    </row>
    <row r="770" spans="1:7" s="32" customFormat="1" x14ac:dyDescent="0.25">
      <c r="A770" s="315"/>
      <c r="B770" s="315"/>
      <c r="C770" s="326"/>
      <c r="D770" s="315"/>
      <c r="E770" s="321"/>
      <c r="F770" s="322"/>
      <c r="G770" s="315"/>
    </row>
    <row r="771" spans="1:7" s="32" customFormat="1" x14ac:dyDescent="0.25">
      <c r="A771" s="315"/>
      <c r="B771" s="315"/>
      <c r="C771" s="326"/>
      <c r="D771" s="315"/>
      <c r="E771" s="321"/>
      <c r="F771" s="322"/>
      <c r="G771" s="315"/>
    </row>
    <row r="772" spans="1:7" s="32" customFormat="1" x14ac:dyDescent="0.25">
      <c r="A772" s="315"/>
      <c r="B772" s="315"/>
      <c r="C772" s="326"/>
      <c r="D772" s="315"/>
      <c r="E772" s="321"/>
      <c r="F772" s="322"/>
      <c r="G772" s="315"/>
    </row>
    <row r="773" spans="1:7" s="32" customFormat="1" x14ac:dyDescent="0.25">
      <c r="A773" s="315"/>
      <c r="B773" s="315"/>
      <c r="C773" s="326"/>
      <c r="D773" s="315"/>
      <c r="E773" s="321"/>
      <c r="F773" s="322"/>
      <c r="G773" s="315"/>
    </row>
    <row r="774" spans="1:7" s="32" customFormat="1" x14ac:dyDescent="0.25">
      <c r="A774" s="315"/>
      <c r="B774" s="315"/>
      <c r="C774" s="326"/>
      <c r="D774" s="315"/>
      <c r="E774" s="321"/>
      <c r="F774" s="322"/>
      <c r="G774" s="315"/>
    </row>
    <row r="775" spans="1:7" s="32" customFormat="1" x14ac:dyDescent="0.25">
      <c r="A775" s="315"/>
      <c r="B775" s="315"/>
      <c r="C775" s="326"/>
      <c r="D775" s="315"/>
      <c r="E775" s="321"/>
      <c r="F775" s="322"/>
      <c r="G775" s="315"/>
    </row>
    <row r="776" spans="1:7" s="32" customFormat="1" x14ac:dyDescent="0.25">
      <c r="A776" s="315"/>
      <c r="B776" s="315"/>
      <c r="C776" s="326"/>
      <c r="D776" s="315"/>
      <c r="E776" s="321"/>
      <c r="F776" s="322"/>
      <c r="G776" s="315"/>
    </row>
    <row r="777" spans="1:7" s="32" customFormat="1" x14ac:dyDescent="0.25">
      <c r="A777" s="315"/>
      <c r="B777" s="315"/>
      <c r="C777" s="326"/>
      <c r="D777" s="315"/>
      <c r="E777" s="321"/>
      <c r="F777" s="322"/>
      <c r="G777" s="315"/>
    </row>
    <row r="778" spans="1:7" s="32" customFormat="1" x14ac:dyDescent="0.25">
      <c r="A778" s="315"/>
      <c r="B778" s="315"/>
      <c r="C778" s="326"/>
      <c r="D778" s="315"/>
      <c r="E778" s="321"/>
      <c r="F778" s="322"/>
      <c r="G778" s="315"/>
    </row>
    <row r="779" spans="1:7" s="32" customFormat="1" x14ac:dyDescent="0.25">
      <c r="A779" s="315"/>
      <c r="B779" s="315"/>
      <c r="C779" s="326"/>
      <c r="D779" s="315"/>
      <c r="E779" s="321"/>
      <c r="F779" s="322"/>
      <c r="G779" s="315"/>
    </row>
    <row r="780" spans="1:7" s="32" customFormat="1" x14ac:dyDescent="0.25">
      <c r="A780" s="315"/>
      <c r="B780" s="315"/>
      <c r="C780" s="326"/>
      <c r="D780" s="315"/>
      <c r="E780" s="321"/>
      <c r="F780" s="322"/>
      <c r="G780" s="315"/>
    </row>
    <row r="781" spans="1:7" s="32" customFormat="1" x14ac:dyDescent="0.25">
      <c r="A781" s="315"/>
      <c r="B781" s="315"/>
      <c r="C781" s="326"/>
      <c r="D781" s="315"/>
      <c r="E781" s="321"/>
      <c r="F781" s="322"/>
      <c r="G781" s="315"/>
    </row>
    <row r="782" spans="1:7" s="32" customFormat="1" x14ac:dyDescent="0.25">
      <c r="A782" s="315"/>
      <c r="B782" s="315"/>
      <c r="C782" s="326"/>
      <c r="D782" s="315"/>
      <c r="E782" s="321"/>
      <c r="F782" s="322"/>
      <c r="G782" s="315"/>
    </row>
    <row r="783" spans="1:7" s="32" customFormat="1" x14ac:dyDescent="0.25">
      <c r="A783" s="315"/>
      <c r="B783" s="315"/>
      <c r="C783" s="326"/>
      <c r="D783" s="315"/>
      <c r="E783" s="321"/>
      <c r="F783" s="322"/>
      <c r="G783" s="315"/>
    </row>
    <row r="784" spans="1:7" s="32" customFormat="1" x14ac:dyDescent="0.25">
      <c r="A784" s="315"/>
      <c r="B784" s="315"/>
      <c r="C784" s="326"/>
      <c r="D784" s="315"/>
      <c r="E784" s="321"/>
      <c r="F784" s="322"/>
      <c r="G784" s="315"/>
    </row>
    <row r="785" spans="1:7" s="32" customFormat="1" x14ac:dyDescent="0.25">
      <c r="A785" s="315"/>
      <c r="B785" s="315"/>
      <c r="C785" s="326"/>
      <c r="D785" s="315"/>
      <c r="E785" s="321"/>
      <c r="F785" s="322"/>
      <c r="G785" s="315"/>
    </row>
    <row r="786" spans="1:7" s="32" customFormat="1" x14ac:dyDescent="0.25">
      <c r="A786" s="315"/>
      <c r="B786" s="315"/>
      <c r="C786" s="326"/>
      <c r="D786" s="315"/>
      <c r="E786" s="321"/>
      <c r="F786" s="322"/>
      <c r="G786" s="315"/>
    </row>
    <row r="787" spans="1:7" s="32" customFormat="1" x14ac:dyDescent="0.25">
      <c r="A787" s="315"/>
      <c r="B787" s="315"/>
      <c r="C787" s="326"/>
      <c r="D787" s="315"/>
      <c r="E787" s="321"/>
      <c r="F787" s="322"/>
      <c r="G787" s="315"/>
    </row>
    <row r="788" spans="1:7" s="32" customFormat="1" x14ac:dyDescent="0.25">
      <c r="A788" s="315"/>
      <c r="B788" s="315"/>
      <c r="C788" s="326"/>
      <c r="D788" s="315"/>
      <c r="E788" s="321"/>
      <c r="F788" s="322"/>
      <c r="G788" s="315"/>
    </row>
    <row r="789" spans="1:7" s="32" customFormat="1" x14ac:dyDescent="0.25">
      <c r="A789" s="315"/>
      <c r="B789" s="315"/>
      <c r="C789" s="326"/>
      <c r="D789" s="315"/>
      <c r="E789" s="321"/>
      <c r="F789" s="322"/>
      <c r="G789" s="315"/>
    </row>
    <row r="790" spans="1:7" s="32" customFormat="1" x14ac:dyDescent="0.25">
      <c r="A790" s="315"/>
      <c r="B790" s="315"/>
      <c r="C790" s="326"/>
      <c r="D790" s="315"/>
      <c r="E790" s="321"/>
      <c r="F790" s="322"/>
      <c r="G790" s="315"/>
    </row>
    <row r="791" spans="1:7" s="32" customFormat="1" x14ac:dyDescent="0.25">
      <c r="A791" s="315"/>
      <c r="B791" s="315"/>
      <c r="C791" s="326"/>
      <c r="D791" s="315"/>
      <c r="E791" s="321"/>
      <c r="F791" s="322"/>
      <c r="G791" s="315"/>
    </row>
    <row r="792" spans="1:7" s="32" customFormat="1" x14ac:dyDescent="0.25">
      <c r="A792" s="315"/>
      <c r="B792" s="315"/>
      <c r="C792" s="326"/>
      <c r="D792" s="315"/>
      <c r="E792" s="321"/>
      <c r="F792" s="322"/>
      <c r="G792" s="315"/>
    </row>
    <row r="793" spans="1:7" s="32" customFormat="1" x14ac:dyDescent="0.25">
      <c r="A793" s="315"/>
      <c r="B793" s="315"/>
      <c r="C793" s="326"/>
      <c r="D793" s="315"/>
      <c r="E793" s="321"/>
      <c r="F793" s="322"/>
      <c r="G793" s="315"/>
    </row>
    <row r="794" spans="1:7" s="32" customFormat="1" x14ac:dyDescent="0.25">
      <c r="A794" s="315"/>
      <c r="B794" s="315"/>
      <c r="C794" s="326"/>
      <c r="D794" s="315"/>
      <c r="E794" s="321"/>
      <c r="F794" s="322"/>
      <c r="G794" s="315"/>
    </row>
    <row r="795" spans="1:7" s="32" customFormat="1" x14ac:dyDescent="0.25">
      <c r="A795" s="315"/>
      <c r="B795" s="315"/>
      <c r="C795" s="326"/>
      <c r="D795" s="315"/>
      <c r="E795" s="321"/>
      <c r="F795" s="322"/>
      <c r="G795" s="315"/>
    </row>
    <row r="796" spans="1:7" s="32" customFormat="1" x14ac:dyDescent="0.25">
      <c r="A796" s="315"/>
      <c r="B796" s="315"/>
      <c r="C796" s="326"/>
      <c r="D796" s="315"/>
      <c r="E796" s="321"/>
      <c r="F796" s="322"/>
      <c r="G796" s="315"/>
    </row>
    <row r="797" spans="1:7" s="32" customFormat="1" x14ac:dyDescent="0.25">
      <c r="A797" s="315"/>
      <c r="B797" s="315"/>
      <c r="C797" s="326"/>
      <c r="D797" s="315"/>
      <c r="E797" s="321"/>
      <c r="F797" s="322"/>
      <c r="G797" s="315"/>
    </row>
    <row r="798" spans="1:7" s="32" customFormat="1" x14ac:dyDescent="0.25">
      <c r="A798" s="315"/>
      <c r="B798" s="315"/>
      <c r="C798" s="326"/>
      <c r="D798" s="315"/>
      <c r="E798" s="321"/>
      <c r="F798" s="322"/>
      <c r="G798" s="315"/>
    </row>
    <row r="799" spans="1:7" s="32" customFormat="1" x14ac:dyDescent="0.25">
      <c r="A799" s="315"/>
      <c r="B799" s="315"/>
      <c r="C799" s="326"/>
      <c r="D799" s="315"/>
      <c r="E799" s="321"/>
      <c r="F799" s="322"/>
      <c r="G799" s="315"/>
    </row>
    <row r="800" spans="1:7" s="32" customFormat="1" x14ac:dyDescent="0.25">
      <c r="A800" s="315"/>
      <c r="B800" s="315"/>
      <c r="C800" s="326"/>
      <c r="D800" s="315"/>
      <c r="E800" s="321"/>
      <c r="F800" s="322"/>
      <c r="G800" s="315"/>
    </row>
    <row r="801" spans="1:7" s="32" customFormat="1" x14ac:dyDescent="0.25">
      <c r="A801" s="315"/>
      <c r="B801" s="315"/>
      <c r="C801" s="326"/>
      <c r="D801" s="315"/>
      <c r="E801" s="321"/>
      <c r="F801" s="322"/>
      <c r="G801" s="315"/>
    </row>
    <row r="802" spans="1:7" s="32" customFormat="1" x14ac:dyDescent="0.25">
      <c r="A802" s="315"/>
      <c r="B802" s="315"/>
      <c r="C802" s="326"/>
      <c r="D802" s="315"/>
      <c r="E802" s="321"/>
      <c r="F802" s="322"/>
      <c r="G802" s="315"/>
    </row>
    <row r="803" spans="1:7" s="32" customFormat="1" x14ac:dyDescent="0.25">
      <c r="A803" s="315"/>
      <c r="B803" s="315"/>
      <c r="C803" s="326"/>
      <c r="D803" s="315"/>
      <c r="E803" s="321"/>
      <c r="F803" s="322"/>
      <c r="G803" s="315"/>
    </row>
    <row r="804" spans="1:7" s="32" customFormat="1" x14ac:dyDescent="0.25">
      <c r="A804" s="315"/>
      <c r="B804" s="315"/>
      <c r="C804" s="326"/>
      <c r="D804" s="315"/>
      <c r="E804" s="321"/>
      <c r="F804" s="322"/>
      <c r="G804" s="315"/>
    </row>
    <row r="805" spans="1:7" s="32" customFormat="1" x14ac:dyDescent="0.25">
      <c r="A805" s="315"/>
      <c r="B805" s="315"/>
      <c r="C805" s="326"/>
      <c r="D805" s="315"/>
      <c r="E805" s="321"/>
      <c r="F805" s="322"/>
      <c r="G805" s="315"/>
    </row>
    <row r="806" spans="1:7" s="32" customFormat="1" x14ac:dyDescent="0.25">
      <c r="A806" s="315"/>
      <c r="B806" s="315"/>
      <c r="C806" s="326"/>
      <c r="D806" s="315"/>
      <c r="E806" s="321"/>
      <c r="F806" s="322"/>
      <c r="G806" s="315"/>
    </row>
    <row r="807" spans="1:7" s="32" customFormat="1" x14ac:dyDescent="0.25">
      <c r="A807" s="315"/>
      <c r="B807" s="315"/>
      <c r="C807" s="326"/>
      <c r="D807" s="315"/>
      <c r="E807" s="321"/>
      <c r="F807" s="322"/>
      <c r="G807" s="315"/>
    </row>
    <row r="808" spans="1:7" s="32" customFormat="1" x14ac:dyDescent="0.25">
      <c r="A808" s="315"/>
      <c r="B808" s="315"/>
      <c r="C808" s="326"/>
      <c r="D808" s="315"/>
      <c r="E808" s="321"/>
      <c r="F808" s="322"/>
      <c r="G808" s="315"/>
    </row>
    <row r="809" spans="1:7" s="32" customFormat="1" x14ac:dyDescent="0.25">
      <c r="A809" s="315"/>
      <c r="B809" s="315"/>
      <c r="C809" s="326"/>
      <c r="D809" s="315"/>
      <c r="E809" s="321"/>
      <c r="F809" s="322"/>
      <c r="G809" s="315"/>
    </row>
    <row r="810" spans="1:7" s="32" customFormat="1" x14ac:dyDescent="0.25">
      <c r="A810" s="315"/>
      <c r="B810" s="315"/>
      <c r="C810" s="326"/>
      <c r="D810" s="315"/>
      <c r="E810" s="321"/>
      <c r="F810" s="322"/>
      <c r="G810" s="315"/>
    </row>
    <row r="811" spans="1:7" s="32" customFormat="1" x14ac:dyDescent="0.25">
      <c r="A811" s="315"/>
      <c r="B811" s="315"/>
      <c r="C811" s="326"/>
      <c r="D811" s="315"/>
      <c r="E811" s="321"/>
      <c r="F811" s="322"/>
      <c r="G811" s="315"/>
    </row>
    <row r="812" spans="1:7" s="32" customFormat="1" x14ac:dyDescent="0.25">
      <c r="A812" s="315"/>
      <c r="B812" s="315"/>
      <c r="C812" s="326"/>
      <c r="D812" s="315"/>
      <c r="E812" s="321"/>
      <c r="F812" s="322"/>
      <c r="G812" s="315"/>
    </row>
    <row r="813" spans="1:7" s="32" customFormat="1" x14ac:dyDescent="0.25">
      <c r="A813" s="315"/>
      <c r="B813" s="315"/>
      <c r="C813" s="326"/>
      <c r="D813" s="315"/>
      <c r="E813" s="321"/>
      <c r="F813" s="322"/>
      <c r="G813" s="315"/>
    </row>
    <row r="814" spans="1:7" s="32" customFormat="1" x14ac:dyDescent="0.25">
      <c r="A814" s="315"/>
      <c r="B814" s="315"/>
      <c r="C814" s="326"/>
      <c r="D814" s="315"/>
      <c r="E814" s="321"/>
      <c r="F814" s="322"/>
      <c r="G814" s="315"/>
    </row>
    <row r="815" spans="1:7" s="32" customFormat="1" x14ac:dyDescent="0.25">
      <c r="A815" s="315"/>
      <c r="B815" s="315"/>
      <c r="C815" s="326"/>
      <c r="D815" s="315"/>
      <c r="E815" s="321"/>
      <c r="F815" s="322"/>
      <c r="G815" s="315"/>
    </row>
    <row r="816" spans="1:7" s="32" customFormat="1" x14ac:dyDescent="0.25">
      <c r="A816" s="315"/>
      <c r="B816" s="315"/>
      <c r="C816" s="326"/>
      <c r="D816" s="315"/>
      <c r="E816" s="321"/>
      <c r="F816" s="322"/>
      <c r="G816" s="315"/>
    </row>
    <row r="817" spans="1:7" s="32" customFormat="1" x14ac:dyDescent="0.25">
      <c r="A817" s="315"/>
      <c r="B817" s="315"/>
      <c r="C817" s="326"/>
      <c r="D817" s="315"/>
      <c r="E817" s="321"/>
      <c r="F817" s="322"/>
      <c r="G817" s="315"/>
    </row>
    <row r="818" spans="1:7" s="32" customFormat="1" x14ac:dyDescent="0.25">
      <c r="A818" s="315"/>
      <c r="B818" s="315"/>
      <c r="C818" s="326"/>
      <c r="D818" s="315"/>
      <c r="E818" s="321"/>
      <c r="F818" s="322"/>
      <c r="G818" s="315"/>
    </row>
    <row r="819" spans="1:7" s="32" customFormat="1" x14ac:dyDescent="0.25">
      <c r="A819" s="315"/>
      <c r="B819" s="315"/>
      <c r="C819" s="326"/>
      <c r="D819" s="315"/>
      <c r="E819" s="321"/>
      <c r="F819" s="322"/>
      <c r="G819" s="315"/>
    </row>
    <row r="820" spans="1:7" s="32" customFormat="1" x14ac:dyDescent="0.25">
      <c r="A820" s="315"/>
      <c r="B820" s="315"/>
      <c r="C820" s="326"/>
      <c r="D820" s="315"/>
      <c r="E820" s="321"/>
      <c r="F820" s="322"/>
      <c r="G820" s="315"/>
    </row>
    <row r="821" spans="1:7" s="32" customFormat="1" x14ac:dyDescent="0.25">
      <c r="A821" s="315"/>
      <c r="B821" s="315"/>
      <c r="C821" s="326"/>
      <c r="D821" s="315"/>
      <c r="E821" s="321"/>
      <c r="F821" s="322"/>
      <c r="G821" s="315"/>
    </row>
    <row r="822" spans="1:7" s="32" customFormat="1" x14ac:dyDescent="0.25">
      <c r="A822" s="315"/>
      <c r="B822" s="315"/>
      <c r="C822" s="326"/>
      <c r="D822" s="315"/>
      <c r="E822" s="321"/>
      <c r="F822" s="322"/>
      <c r="G822" s="315"/>
    </row>
    <row r="823" spans="1:7" s="32" customFormat="1" x14ac:dyDescent="0.25">
      <c r="A823" s="315"/>
      <c r="B823" s="315"/>
      <c r="C823" s="326"/>
      <c r="D823" s="315"/>
      <c r="E823" s="321"/>
      <c r="F823" s="322"/>
      <c r="G823" s="315"/>
    </row>
    <row r="824" spans="1:7" s="32" customFormat="1" x14ac:dyDescent="0.25">
      <c r="A824" s="315"/>
      <c r="B824" s="315"/>
      <c r="C824" s="326"/>
      <c r="D824" s="315"/>
      <c r="E824" s="321"/>
      <c r="F824" s="322"/>
      <c r="G824" s="315"/>
    </row>
    <row r="825" spans="1:7" s="32" customFormat="1" x14ac:dyDescent="0.25">
      <c r="A825" s="315"/>
      <c r="B825" s="315"/>
      <c r="C825" s="326"/>
      <c r="D825" s="315"/>
      <c r="E825" s="321"/>
      <c r="F825" s="322"/>
      <c r="G825" s="315"/>
    </row>
    <row r="826" spans="1:7" s="32" customFormat="1" x14ac:dyDescent="0.25">
      <c r="A826" s="315"/>
      <c r="B826" s="315"/>
      <c r="C826" s="326"/>
      <c r="D826" s="315"/>
      <c r="E826" s="321"/>
      <c r="F826" s="322"/>
      <c r="G826" s="315"/>
    </row>
    <row r="827" spans="1:7" s="32" customFormat="1" x14ac:dyDescent="0.25">
      <c r="A827" s="315"/>
      <c r="B827" s="315"/>
      <c r="C827" s="326"/>
      <c r="D827" s="315"/>
      <c r="E827" s="321"/>
      <c r="F827" s="322"/>
      <c r="G827" s="315"/>
    </row>
    <row r="828" spans="1:7" s="32" customFormat="1" x14ac:dyDescent="0.25">
      <c r="A828" s="315"/>
      <c r="B828" s="315"/>
      <c r="C828" s="326"/>
      <c r="D828" s="315"/>
      <c r="E828" s="321"/>
      <c r="F828" s="322"/>
      <c r="G828" s="315"/>
    </row>
    <row r="829" spans="1:7" s="32" customFormat="1" x14ac:dyDescent="0.25">
      <c r="A829" s="315"/>
      <c r="B829" s="315"/>
      <c r="C829" s="326"/>
      <c r="D829" s="315"/>
      <c r="E829" s="321"/>
      <c r="F829" s="322"/>
      <c r="G829" s="315"/>
    </row>
    <row r="830" spans="1:7" s="32" customFormat="1" x14ac:dyDescent="0.25">
      <c r="A830" s="315"/>
      <c r="B830" s="315"/>
      <c r="C830" s="326"/>
      <c r="D830" s="315"/>
      <c r="E830" s="321"/>
      <c r="F830" s="322"/>
      <c r="G830" s="315"/>
    </row>
    <row r="831" spans="1:7" s="32" customFormat="1" x14ac:dyDescent="0.25">
      <c r="A831" s="315"/>
      <c r="B831" s="315"/>
      <c r="C831" s="326"/>
      <c r="D831" s="315"/>
      <c r="E831" s="321"/>
      <c r="F831" s="322"/>
      <c r="G831" s="315"/>
    </row>
    <row r="832" spans="1:7" s="32" customFormat="1" x14ac:dyDescent="0.25">
      <c r="A832" s="315"/>
      <c r="B832" s="315"/>
      <c r="C832" s="326"/>
      <c r="D832" s="315"/>
      <c r="E832" s="321"/>
      <c r="F832" s="322"/>
      <c r="G832" s="315"/>
    </row>
    <row r="833" spans="1:7" s="32" customFormat="1" x14ac:dyDescent="0.25">
      <c r="A833" s="315"/>
      <c r="B833" s="315"/>
      <c r="C833" s="326"/>
      <c r="D833" s="315"/>
      <c r="E833" s="321"/>
      <c r="F833" s="322"/>
      <c r="G833" s="315"/>
    </row>
    <row r="834" spans="1:7" s="32" customFormat="1" x14ac:dyDescent="0.25">
      <c r="A834" s="315"/>
      <c r="B834" s="315"/>
      <c r="C834" s="326"/>
      <c r="D834" s="315"/>
      <c r="E834" s="321"/>
      <c r="F834" s="322"/>
      <c r="G834" s="315"/>
    </row>
    <row r="835" spans="1:7" s="32" customFormat="1" x14ac:dyDescent="0.25">
      <c r="A835" s="315"/>
      <c r="B835" s="315"/>
      <c r="C835" s="326"/>
      <c r="D835" s="315"/>
      <c r="E835" s="321"/>
      <c r="F835" s="322"/>
      <c r="G835" s="315"/>
    </row>
    <row r="836" spans="1:7" s="32" customFormat="1" x14ac:dyDescent="0.25">
      <c r="A836" s="315"/>
      <c r="B836" s="315"/>
      <c r="C836" s="326"/>
      <c r="D836" s="315"/>
      <c r="E836" s="321"/>
      <c r="F836" s="322"/>
      <c r="G836" s="315"/>
    </row>
    <row r="837" spans="1:7" s="32" customFormat="1" x14ac:dyDescent="0.25">
      <c r="A837" s="315"/>
      <c r="B837" s="315"/>
      <c r="C837" s="326"/>
      <c r="D837" s="315"/>
      <c r="E837" s="321"/>
      <c r="F837" s="322"/>
      <c r="G837" s="315"/>
    </row>
    <row r="838" spans="1:7" s="32" customFormat="1" x14ac:dyDescent="0.25">
      <c r="A838" s="315"/>
      <c r="B838" s="315"/>
      <c r="C838" s="326"/>
      <c r="D838" s="315"/>
      <c r="E838" s="321"/>
      <c r="F838" s="322"/>
      <c r="G838" s="315"/>
    </row>
    <row r="839" spans="1:7" s="32" customFormat="1" x14ac:dyDescent="0.25">
      <c r="A839" s="315"/>
      <c r="B839" s="315"/>
      <c r="C839" s="326"/>
      <c r="D839" s="315"/>
      <c r="E839" s="321"/>
      <c r="F839" s="322"/>
      <c r="G839" s="315"/>
    </row>
    <row r="840" spans="1:7" s="32" customFormat="1" x14ac:dyDescent="0.25">
      <c r="A840" s="315"/>
      <c r="B840" s="315"/>
      <c r="C840" s="326"/>
      <c r="D840" s="315"/>
      <c r="E840" s="321"/>
      <c r="F840" s="322"/>
      <c r="G840" s="315"/>
    </row>
    <row r="841" spans="1:7" s="32" customFormat="1" x14ac:dyDescent="0.25">
      <c r="A841" s="315"/>
      <c r="B841" s="315"/>
      <c r="C841" s="326"/>
      <c r="D841" s="315"/>
      <c r="E841" s="321"/>
      <c r="F841" s="322"/>
      <c r="G841" s="315"/>
    </row>
    <row r="842" spans="1:7" s="32" customFormat="1" x14ac:dyDescent="0.25">
      <c r="A842" s="315"/>
      <c r="B842" s="315"/>
      <c r="C842" s="326"/>
      <c r="D842" s="315"/>
      <c r="E842" s="321"/>
      <c r="F842" s="322"/>
      <c r="G842" s="315"/>
    </row>
    <row r="843" spans="1:7" s="32" customFormat="1" x14ac:dyDescent="0.25">
      <c r="A843" s="315"/>
      <c r="B843" s="315"/>
      <c r="C843" s="326"/>
      <c r="D843" s="315"/>
      <c r="E843" s="321"/>
      <c r="F843" s="322"/>
      <c r="G843" s="315"/>
    </row>
    <row r="844" spans="1:7" s="32" customFormat="1" x14ac:dyDescent="0.25">
      <c r="A844" s="315"/>
      <c r="B844" s="315"/>
      <c r="C844" s="326"/>
      <c r="D844" s="315"/>
      <c r="E844" s="321"/>
      <c r="F844" s="322"/>
      <c r="G844" s="315"/>
    </row>
    <row r="845" spans="1:7" s="32" customFormat="1" x14ac:dyDescent="0.25">
      <c r="A845" s="315"/>
      <c r="B845" s="315"/>
      <c r="C845" s="326"/>
      <c r="D845" s="315"/>
      <c r="E845" s="321"/>
      <c r="F845" s="322"/>
      <c r="G845" s="315"/>
    </row>
    <row r="846" spans="1:7" s="32" customFormat="1" x14ac:dyDescent="0.25">
      <c r="A846" s="315"/>
      <c r="B846" s="315"/>
      <c r="C846" s="326"/>
      <c r="D846" s="315"/>
      <c r="E846" s="321"/>
      <c r="F846" s="322"/>
      <c r="G846" s="315"/>
    </row>
    <row r="847" spans="1:7" s="32" customFormat="1" x14ac:dyDescent="0.25">
      <c r="A847" s="315"/>
      <c r="B847" s="315"/>
      <c r="C847" s="326"/>
      <c r="D847" s="315"/>
      <c r="E847" s="321"/>
      <c r="F847" s="322"/>
      <c r="G847" s="315"/>
    </row>
    <row r="848" spans="1:7" s="32" customFormat="1" x14ac:dyDescent="0.25">
      <c r="A848" s="315"/>
      <c r="B848" s="315"/>
      <c r="C848" s="326"/>
      <c r="D848" s="315"/>
      <c r="E848" s="321"/>
      <c r="F848" s="322"/>
      <c r="G848" s="315"/>
    </row>
    <row r="849" spans="1:7" s="32" customFormat="1" x14ac:dyDescent="0.25">
      <c r="A849" s="315"/>
      <c r="B849" s="315"/>
      <c r="C849" s="326"/>
      <c r="D849" s="315"/>
      <c r="E849" s="321"/>
      <c r="F849" s="322"/>
      <c r="G849" s="315"/>
    </row>
    <row r="850" spans="1:7" s="32" customFormat="1" x14ac:dyDescent="0.25">
      <c r="A850" s="315"/>
      <c r="B850" s="315"/>
      <c r="C850" s="326"/>
      <c r="D850" s="315"/>
      <c r="E850" s="321"/>
      <c r="F850" s="322"/>
      <c r="G850" s="315"/>
    </row>
    <row r="851" spans="1:7" s="32" customFormat="1" x14ac:dyDescent="0.25">
      <c r="A851" s="315"/>
      <c r="B851" s="315"/>
      <c r="C851" s="326"/>
      <c r="D851" s="315"/>
      <c r="E851" s="321"/>
      <c r="F851" s="322"/>
      <c r="G851" s="315"/>
    </row>
    <row r="852" spans="1:7" s="32" customFormat="1" x14ac:dyDescent="0.25">
      <c r="A852" s="315"/>
      <c r="B852" s="315"/>
      <c r="C852" s="326"/>
      <c r="D852" s="315"/>
      <c r="E852" s="321"/>
      <c r="F852" s="322"/>
      <c r="G852" s="315"/>
    </row>
    <row r="853" spans="1:7" s="32" customFormat="1" x14ac:dyDescent="0.25">
      <c r="A853" s="315"/>
      <c r="B853" s="315"/>
      <c r="C853" s="326"/>
      <c r="D853" s="315"/>
      <c r="E853" s="321"/>
      <c r="F853" s="322"/>
      <c r="G853" s="315"/>
    </row>
    <row r="854" spans="1:7" s="32" customFormat="1" x14ac:dyDescent="0.25">
      <c r="A854" s="315"/>
      <c r="B854" s="315"/>
      <c r="C854" s="326"/>
      <c r="D854" s="315"/>
      <c r="E854" s="321"/>
      <c r="F854" s="322"/>
      <c r="G854" s="315"/>
    </row>
    <row r="855" spans="1:7" s="32" customFormat="1" x14ac:dyDescent="0.25">
      <c r="A855" s="315"/>
      <c r="B855" s="315"/>
      <c r="C855" s="326"/>
      <c r="D855" s="315"/>
      <c r="E855" s="321"/>
      <c r="F855" s="322"/>
      <c r="G855" s="315"/>
    </row>
    <row r="856" spans="1:7" s="32" customFormat="1" x14ac:dyDescent="0.25">
      <c r="A856" s="315"/>
      <c r="B856" s="315"/>
      <c r="C856" s="326"/>
      <c r="D856" s="315"/>
      <c r="E856" s="321"/>
      <c r="F856" s="322"/>
      <c r="G856" s="315"/>
    </row>
    <row r="857" spans="1:7" s="32" customFormat="1" x14ac:dyDescent="0.25">
      <c r="A857" s="315"/>
      <c r="B857" s="315"/>
      <c r="C857" s="326"/>
      <c r="D857" s="315"/>
      <c r="E857" s="321"/>
      <c r="F857" s="322"/>
      <c r="G857" s="315"/>
    </row>
    <row r="858" spans="1:7" s="32" customFormat="1" x14ac:dyDescent="0.25">
      <c r="A858" s="315"/>
      <c r="B858" s="315"/>
      <c r="C858" s="326"/>
      <c r="D858" s="315"/>
      <c r="E858" s="321"/>
      <c r="F858" s="322"/>
      <c r="G858" s="315"/>
    </row>
    <row r="859" spans="1:7" s="32" customFormat="1" x14ac:dyDescent="0.25">
      <c r="A859" s="315"/>
      <c r="B859" s="315"/>
      <c r="C859" s="326"/>
      <c r="D859" s="315"/>
      <c r="E859" s="321"/>
      <c r="F859" s="322"/>
      <c r="G859" s="315"/>
    </row>
    <row r="860" spans="1:7" s="32" customFormat="1" x14ac:dyDescent="0.25">
      <c r="A860" s="315"/>
      <c r="B860" s="315"/>
      <c r="C860" s="326"/>
      <c r="D860" s="315"/>
      <c r="E860" s="321"/>
      <c r="F860" s="322"/>
      <c r="G860" s="315"/>
    </row>
    <row r="861" spans="1:7" s="32" customFormat="1" x14ac:dyDescent="0.25">
      <c r="A861" s="315"/>
      <c r="B861" s="315"/>
      <c r="C861" s="326"/>
      <c r="D861" s="315"/>
      <c r="E861" s="321"/>
      <c r="F861" s="322"/>
      <c r="G861" s="315"/>
    </row>
    <row r="862" spans="1:7" s="32" customFormat="1" x14ac:dyDescent="0.25">
      <c r="A862" s="315"/>
      <c r="B862" s="315"/>
      <c r="C862" s="326"/>
      <c r="D862" s="315"/>
      <c r="E862" s="321"/>
      <c r="F862" s="322"/>
      <c r="G862" s="315"/>
    </row>
    <row r="863" spans="1:7" s="32" customFormat="1" x14ac:dyDescent="0.25">
      <c r="A863" s="315"/>
      <c r="B863" s="315"/>
      <c r="C863" s="326"/>
      <c r="D863" s="315"/>
      <c r="E863" s="321"/>
      <c r="F863" s="322"/>
      <c r="G863" s="315"/>
    </row>
    <row r="864" spans="1:7" s="32" customFormat="1" x14ac:dyDescent="0.25">
      <c r="A864" s="315"/>
      <c r="B864" s="315"/>
      <c r="C864" s="326"/>
      <c r="D864" s="315"/>
      <c r="E864" s="321"/>
      <c r="F864" s="322"/>
      <c r="G864" s="315"/>
    </row>
    <row r="865" spans="1:7" s="32" customFormat="1" x14ac:dyDescent="0.25">
      <c r="A865" s="315"/>
      <c r="B865" s="315"/>
      <c r="C865" s="326"/>
      <c r="D865" s="315"/>
      <c r="E865" s="321"/>
      <c r="F865" s="322"/>
      <c r="G865" s="315"/>
    </row>
    <row r="866" spans="1:7" s="32" customFormat="1" x14ac:dyDescent="0.25">
      <c r="A866" s="315"/>
      <c r="B866" s="315"/>
      <c r="C866" s="326"/>
      <c r="D866" s="315"/>
      <c r="E866" s="321"/>
      <c r="F866" s="322"/>
      <c r="G866" s="315"/>
    </row>
    <row r="867" spans="1:7" s="32" customFormat="1" x14ac:dyDescent="0.25">
      <c r="A867" s="315"/>
      <c r="B867" s="315"/>
      <c r="C867" s="326"/>
      <c r="D867" s="315"/>
      <c r="E867" s="321"/>
      <c r="F867" s="322"/>
      <c r="G867" s="315"/>
    </row>
    <row r="868" spans="1:7" s="32" customFormat="1" x14ac:dyDescent="0.25">
      <c r="A868" s="315"/>
      <c r="B868" s="315"/>
      <c r="C868" s="326"/>
      <c r="D868" s="315"/>
      <c r="E868" s="321"/>
      <c r="F868" s="322"/>
      <c r="G868" s="315"/>
    </row>
    <row r="869" spans="1:7" s="32" customFormat="1" x14ac:dyDescent="0.25">
      <c r="A869" s="315"/>
      <c r="B869" s="315"/>
      <c r="C869" s="326"/>
      <c r="D869" s="315"/>
      <c r="E869" s="321"/>
      <c r="F869" s="322"/>
      <c r="G869" s="315"/>
    </row>
    <row r="870" spans="1:7" s="32" customFormat="1" x14ac:dyDescent="0.25">
      <c r="A870" s="315"/>
      <c r="B870" s="315"/>
      <c r="C870" s="326"/>
      <c r="D870" s="315"/>
      <c r="E870" s="321"/>
      <c r="F870" s="322"/>
      <c r="G870" s="315"/>
    </row>
    <row r="871" spans="1:7" s="32" customFormat="1" x14ac:dyDescent="0.25">
      <c r="A871" s="315"/>
      <c r="B871" s="315"/>
      <c r="C871" s="326"/>
      <c r="D871" s="315"/>
      <c r="E871" s="321"/>
      <c r="F871" s="322"/>
      <c r="G871" s="315"/>
    </row>
    <row r="872" spans="1:7" s="32" customFormat="1" x14ac:dyDescent="0.25">
      <c r="A872" s="315"/>
      <c r="B872" s="315"/>
      <c r="C872" s="326"/>
      <c r="D872" s="315"/>
      <c r="E872" s="321"/>
      <c r="F872" s="322"/>
      <c r="G872" s="315"/>
    </row>
    <row r="873" spans="1:7" s="32" customFormat="1" x14ac:dyDescent="0.25">
      <c r="A873" s="315"/>
      <c r="B873" s="315"/>
      <c r="C873" s="326"/>
      <c r="D873" s="315"/>
      <c r="E873" s="321"/>
      <c r="F873" s="322"/>
      <c r="G873" s="315"/>
    </row>
    <row r="874" spans="1:7" s="32" customFormat="1" x14ac:dyDescent="0.25">
      <c r="A874" s="315"/>
      <c r="B874" s="315"/>
      <c r="C874" s="326"/>
      <c r="D874" s="315"/>
      <c r="E874" s="321"/>
      <c r="F874" s="322"/>
      <c r="G874" s="315"/>
    </row>
    <row r="875" spans="1:7" s="32" customFormat="1" x14ac:dyDescent="0.25">
      <c r="A875" s="315"/>
      <c r="B875" s="315"/>
      <c r="C875" s="326"/>
      <c r="D875" s="315"/>
      <c r="E875" s="321"/>
      <c r="F875" s="322"/>
      <c r="G875" s="315"/>
    </row>
    <row r="876" spans="1:7" s="32" customFormat="1" x14ac:dyDescent="0.25">
      <c r="A876" s="315"/>
      <c r="B876" s="315"/>
      <c r="C876" s="326"/>
      <c r="D876" s="315"/>
      <c r="E876" s="321"/>
      <c r="F876" s="322"/>
      <c r="G876" s="315"/>
    </row>
    <row r="877" spans="1:7" s="32" customFormat="1" x14ac:dyDescent="0.25">
      <c r="A877" s="315"/>
      <c r="B877" s="315"/>
      <c r="C877" s="326"/>
      <c r="D877" s="315"/>
      <c r="E877" s="321"/>
      <c r="F877" s="322"/>
      <c r="G877" s="315"/>
    </row>
    <row r="878" spans="1:7" s="32" customFormat="1" x14ac:dyDescent="0.25">
      <c r="A878" s="315"/>
      <c r="B878" s="315"/>
      <c r="C878" s="326"/>
      <c r="D878" s="315"/>
      <c r="E878" s="321"/>
      <c r="F878" s="322"/>
      <c r="G878" s="315"/>
    </row>
    <row r="879" spans="1:7" s="32" customFormat="1" x14ac:dyDescent="0.25">
      <c r="A879" s="315"/>
      <c r="B879" s="315"/>
      <c r="C879" s="326"/>
      <c r="D879" s="315"/>
      <c r="E879" s="321"/>
      <c r="F879" s="322"/>
      <c r="G879" s="315"/>
    </row>
    <row r="880" spans="1:7" s="32" customFormat="1" x14ac:dyDescent="0.25">
      <c r="A880" s="315"/>
      <c r="B880" s="315"/>
      <c r="C880" s="326"/>
      <c r="D880" s="315"/>
      <c r="E880" s="321"/>
      <c r="F880" s="322"/>
      <c r="G880" s="315"/>
    </row>
    <row r="881" spans="1:7" s="32" customFormat="1" x14ac:dyDescent="0.25">
      <c r="A881" s="315"/>
      <c r="B881" s="315"/>
      <c r="C881" s="326"/>
      <c r="D881" s="315"/>
      <c r="E881" s="321"/>
      <c r="F881" s="322"/>
      <c r="G881" s="315"/>
    </row>
    <row r="882" spans="1:7" s="32" customFormat="1" x14ac:dyDescent="0.25">
      <c r="A882" s="315"/>
      <c r="B882" s="315"/>
      <c r="C882" s="326"/>
      <c r="D882" s="315"/>
      <c r="E882" s="321"/>
      <c r="F882" s="322"/>
      <c r="G882" s="315"/>
    </row>
    <row r="883" spans="1:7" s="32" customFormat="1" x14ac:dyDescent="0.25">
      <c r="A883" s="315"/>
      <c r="B883" s="315"/>
      <c r="C883" s="326"/>
      <c r="D883" s="315"/>
      <c r="E883" s="321"/>
      <c r="F883" s="322"/>
      <c r="G883" s="315"/>
    </row>
    <row r="884" spans="1:7" s="32" customFormat="1" x14ac:dyDescent="0.25">
      <c r="A884" s="315"/>
      <c r="B884" s="315"/>
      <c r="C884" s="326"/>
      <c r="D884" s="315"/>
      <c r="E884" s="321"/>
      <c r="F884" s="322"/>
      <c r="G884" s="315"/>
    </row>
    <row r="885" spans="1:7" s="32" customFormat="1" x14ac:dyDescent="0.25">
      <c r="A885" s="315"/>
      <c r="B885" s="315"/>
      <c r="C885" s="326"/>
      <c r="D885" s="315"/>
      <c r="E885" s="321"/>
      <c r="F885" s="322"/>
      <c r="G885" s="315"/>
    </row>
    <row r="886" spans="1:7" s="32" customFormat="1" x14ac:dyDescent="0.25">
      <c r="A886" s="315"/>
      <c r="B886" s="315"/>
      <c r="C886" s="326"/>
      <c r="D886" s="315"/>
      <c r="E886" s="321"/>
      <c r="F886" s="322"/>
      <c r="G886" s="315"/>
    </row>
    <row r="887" spans="1:7" s="32" customFormat="1" x14ac:dyDescent="0.25">
      <c r="A887" s="315"/>
      <c r="B887" s="315"/>
      <c r="C887" s="326"/>
      <c r="D887" s="315"/>
      <c r="E887" s="321"/>
      <c r="F887" s="322"/>
      <c r="G887" s="315"/>
    </row>
    <row r="888" spans="1:7" s="32" customFormat="1" x14ac:dyDescent="0.25">
      <c r="A888" s="315"/>
      <c r="B888" s="315"/>
      <c r="C888" s="326"/>
      <c r="D888" s="315"/>
      <c r="E888" s="321"/>
      <c r="F888" s="322"/>
      <c r="G888" s="315"/>
    </row>
    <row r="889" spans="1:7" s="32" customFormat="1" x14ac:dyDescent="0.25">
      <c r="A889" s="315"/>
      <c r="B889" s="315"/>
      <c r="C889" s="326"/>
      <c r="D889" s="315"/>
      <c r="E889" s="321"/>
      <c r="F889" s="322"/>
      <c r="G889" s="315"/>
    </row>
    <row r="890" spans="1:7" s="32" customFormat="1" x14ac:dyDescent="0.25">
      <c r="A890" s="315"/>
      <c r="B890" s="315"/>
      <c r="C890" s="326"/>
      <c r="D890" s="315"/>
      <c r="E890" s="321"/>
      <c r="F890" s="322"/>
      <c r="G890" s="315"/>
    </row>
    <row r="891" spans="1:7" s="32" customFormat="1" x14ac:dyDescent="0.25">
      <c r="A891" s="315"/>
      <c r="B891" s="315"/>
      <c r="C891" s="326"/>
      <c r="D891" s="315"/>
      <c r="E891" s="321"/>
      <c r="F891" s="322"/>
      <c r="G891" s="315"/>
    </row>
    <row r="892" spans="1:7" s="32" customFormat="1" x14ac:dyDescent="0.25">
      <c r="A892" s="315"/>
      <c r="B892" s="315"/>
      <c r="C892" s="326"/>
      <c r="D892" s="315"/>
      <c r="E892" s="321"/>
      <c r="F892" s="322"/>
      <c r="G892" s="315"/>
    </row>
    <row r="893" spans="1:7" s="32" customFormat="1" x14ac:dyDescent="0.25">
      <c r="A893" s="315"/>
      <c r="B893" s="315"/>
      <c r="C893" s="326"/>
      <c r="D893" s="315"/>
      <c r="E893" s="321"/>
      <c r="F893" s="322"/>
      <c r="G893" s="315"/>
    </row>
    <row r="894" spans="1:7" s="32" customFormat="1" x14ac:dyDescent="0.25">
      <c r="A894" s="315"/>
      <c r="B894" s="315"/>
      <c r="C894" s="326"/>
      <c r="D894" s="315"/>
      <c r="E894" s="321"/>
      <c r="F894" s="322"/>
      <c r="G894" s="315"/>
    </row>
    <row r="895" spans="1:7" s="32" customFormat="1" x14ac:dyDescent="0.25">
      <c r="A895" s="315"/>
      <c r="B895" s="315"/>
      <c r="C895" s="326"/>
      <c r="D895" s="315"/>
      <c r="E895" s="321"/>
      <c r="F895" s="322"/>
      <c r="G895" s="315"/>
    </row>
    <row r="896" spans="1:7" s="32" customFormat="1" x14ac:dyDescent="0.25">
      <c r="A896" s="315"/>
      <c r="B896" s="315"/>
      <c r="C896" s="326"/>
      <c r="D896" s="315"/>
      <c r="E896" s="321"/>
      <c r="F896" s="322"/>
      <c r="G896" s="315"/>
    </row>
    <row r="897" spans="1:7" s="32" customFormat="1" x14ac:dyDescent="0.25">
      <c r="A897" s="315"/>
      <c r="B897" s="315"/>
      <c r="C897" s="326"/>
      <c r="D897" s="315"/>
      <c r="E897" s="321"/>
      <c r="F897" s="322"/>
      <c r="G897" s="315"/>
    </row>
    <row r="898" spans="1:7" s="32" customFormat="1" x14ac:dyDescent="0.25">
      <c r="A898" s="315"/>
      <c r="B898" s="315"/>
      <c r="C898" s="326"/>
      <c r="D898" s="315"/>
      <c r="E898" s="321"/>
      <c r="F898" s="322"/>
      <c r="G898" s="315"/>
    </row>
    <row r="899" spans="1:7" s="32" customFormat="1" x14ac:dyDescent="0.25">
      <c r="A899" s="315"/>
      <c r="B899" s="315"/>
      <c r="C899" s="326"/>
      <c r="D899" s="315"/>
      <c r="E899" s="321"/>
      <c r="F899" s="322"/>
      <c r="G899" s="315"/>
    </row>
    <row r="900" spans="1:7" s="32" customFormat="1" x14ac:dyDescent="0.25">
      <c r="A900" s="315"/>
      <c r="B900" s="315"/>
      <c r="C900" s="326"/>
      <c r="D900" s="315"/>
      <c r="E900" s="321"/>
      <c r="F900" s="322"/>
      <c r="G900" s="315"/>
    </row>
    <row r="901" spans="1:7" s="32" customFormat="1" x14ac:dyDescent="0.25">
      <c r="A901" s="315"/>
      <c r="B901" s="315"/>
      <c r="C901" s="326"/>
      <c r="D901" s="315"/>
      <c r="E901" s="321"/>
      <c r="F901" s="322"/>
      <c r="G901" s="315"/>
    </row>
    <row r="902" spans="1:7" s="32" customFormat="1" x14ac:dyDescent="0.25">
      <c r="A902" s="315"/>
      <c r="B902" s="315"/>
      <c r="C902" s="326"/>
      <c r="D902" s="315"/>
      <c r="E902" s="321"/>
      <c r="F902" s="322"/>
      <c r="G902" s="315"/>
    </row>
    <row r="903" spans="1:7" s="32" customFormat="1" x14ac:dyDescent="0.25">
      <c r="A903" s="315"/>
      <c r="B903" s="315"/>
      <c r="C903" s="326"/>
      <c r="D903" s="315"/>
      <c r="E903" s="321"/>
      <c r="F903" s="322"/>
      <c r="G903" s="315"/>
    </row>
    <row r="904" spans="1:7" s="32" customFormat="1" x14ac:dyDescent="0.25">
      <c r="A904" s="315"/>
      <c r="B904" s="315"/>
      <c r="C904" s="326"/>
      <c r="D904" s="315"/>
      <c r="E904" s="321"/>
      <c r="F904" s="322"/>
      <c r="G904" s="315"/>
    </row>
    <row r="905" spans="1:7" s="32" customFormat="1" x14ac:dyDescent="0.25">
      <c r="A905" s="315"/>
      <c r="B905" s="315"/>
      <c r="C905" s="326"/>
      <c r="D905" s="315"/>
      <c r="E905" s="321"/>
      <c r="F905" s="322"/>
      <c r="G905" s="315"/>
    </row>
    <row r="906" spans="1:7" s="32" customFormat="1" x14ac:dyDescent="0.25">
      <c r="A906" s="315"/>
      <c r="B906" s="315"/>
      <c r="C906" s="326"/>
      <c r="D906" s="315"/>
      <c r="E906" s="321"/>
      <c r="F906" s="322"/>
      <c r="G906" s="315"/>
    </row>
    <row r="907" spans="1:7" s="32" customFormat="1" x14ac:dyDescent="0.25">
      <c r="A907" s="315"/>
      <c r="B907" s="315"/>
      <c r="C907" s="326"/>
      <c r="D907" s="315"/>
      <c r="E907" s="321"/>
      <c r="F907" s="322"/>
      <c r="G907" s="315"/>
    </row>
    <row r="908" spans="1:7" s="32" customFormat="1" x14ac:dyDescent="0.25">
      <c r="A908" s="315"/>
      <c r="B908" s="315"/>
      <c r="C908" s="326"/>
      <c r="D908" s="315"/>
      <c r="E908" s="321"/>
      <c r="F908" s="322"/>
      <c r="G908" s="315"/>
    </row>
    <row r="909" spans="1:7" s="32" customFormat="1" x14ac:dyDescent="0.25">
      <c r="A909" s="315"/>
      <c r="B909" s="315"/>
      <c r="C909" s="326"/>
      <c r="D909" s="315"/>
      <c r="E909" s="321"/>
      <c r="F909" s="322"/>
      <c r="G909" s="315"/>
    </row>
    <row r="910" spans="1:7" s="32" customFormat="1" x14ac:dyDescent="0.25">
      <c r="A910" s="315"/>
      <c r="B910" s="315"/>
      <c r="C910" s="326"/>
      <c r="D910" s="315"/>
      <c r="E910" s="321"/>
      <c r="F910" s="322"/>
      <c r="G910" s="315"/>
    </row>
    <row r="911" spans="1:7" s="32" customFormat="1" x14ac:dyDescent="0.25">
      <c r="A911" s="315"/>
      <c r="B911" s="315"/>
      <c r="C911" s="326"/>
      <c r="D911" s="315"/>
      <c r="E911" s="321"/>
      <c r="F911" s="322"/>
      <c r="G911" s="315"/>
    </row>
    <row r="912" spans="1:7" s="32" customFormat="1" x14ac:dyDescent="0.25">
      <c r="A912" s="315"/>
      <c r="B912" s="315"/>
      <c r="C912" s="326"/>
      <c r="D912" s="315"/>
      <c r="E912" s="321"/>
      <c r="F912" s="322"/>
      <c r="G912" s="315"/>
    </row>
    <row r="913" spans="1:7" s="32" customFormat="1" x14ac:dyDescent="0.25">
      <c r="A913" s="315"/>
      <c r="B913" s="315"/>
      <c r="C913" s="326"/>
      <c r="D913" s="315"/>
      <c r="E913" s="321"/>
      <c r="F913" s="322"/>
      <c r="G913" s="315"/>
    </row>
    <row r="914" spans="1:7" s="32" customFormat="1" x14ac:dyDescent="0.25">
      <c r="A914" s="315"/>
      <c r="B914" s="315"/>
      <c r="C914" s="326"/>
      <c r="D914" s="315"/>
      <c r="E914" s="321"/>
      <c r="F914" s="322"/>
      <c r="G914" s="315"/>
    </row>
    <row r="915" spans="1:7" s="32" customFormat="1" x14ac:dyDescent="0.25">
      <c r="A915" s="315"/>
      <c r="B915" s="315"/>
      <c r="C915" s="326"/>
      <c r="D915" s="315"/>
      <c r="E915" s="321"/>
      <c r="F915" s="322"/>
      <c r="G915" s="315"/>
    </row>
    <row r="916" spans="1:7" s="32" customFormat="1" x14ac:dyDescent="0.25">
      <c r="A916" s="315"/>
      <c r="B916" s="315"/>
      <c r="C916" s="326"/>
      <c r="D916" s="315"/>
      <c r="E916" s="321"/>
      <c r="F916" s="322"/>
      <c r="G916" s="315"/>
    </row>
    <row r="917" spans="1:7" s="32" customFormat="1" x14ac:dyDescent="0.25">
      <c r="A917" s="315"/>
      <c r="B917" s="315"/>
      <c r="C917" s="326"/>
      <c r="D917" s="315"/>
      <c r="E917" s="321"/>
      <c r="F917" s="322"/>
      <c r="G917" s="315"/>
    </row>
    <row r="918" spans="1:7" s="32" customFormat="1" x14ac:dyDescent="0.25">
      <c r="A918" s="315"/>
      <c r="B918" s="315"/>
      <c r="C918" s="326"/>
      <c r="D918" s="315"/>
      <c r="E918" s="321"/>
      <c r="F918" s="322"/>
      <c r="G918" s="315"/>
    </row>
    <row r="919" spans="1:7" s="32" customFormat="1" x14ac:dyDescent="0.25">
      <c r="A919" s="315"/>
      <c r="B919" s="315"/>
      <c r="C919" s="326"/>
      <c r="D919" s="315"/>
      <c r="E919" s="321"/>
      <c r="F919" s="322"/>
      <c r="G919" s="315"/>
    </row>
    <row r="920" spans="1:7" s="32" customFormat="1" x14ac:dyDescent="0.25">
      <c r="A920" s="315"/>
      <c r="B920" s="315"/>
      <c r="C920" s="326"/>
      <c r="D920" s="315"/>
      <c r="E920" s="321"/>
      <c r="F920" s="322"/>
      <c r="G920" s="315"/>
    </row>
    <row r="921" spans="1:7" s="32" customFormat="1" x14ac:dyDescent="0.25">
      <c r="A921" s="315"/>
      <c r="B921" s="315"/>
      <c r="C921" s="326"/>
      <c r="D921" s="315"/>
      <c r="E921" s="321"/>
      <c r="F921" s="322"/>
      <c r="G921" s="315"/>
    </row>
    <row r="922" spans="1:7" s="32" customFormat="1" x14ac:dyDescent="0.25">
      <c r="A922" s="315"/>
      <c r="B922" s="315"/>
      <c r="C922" s="326"/>
      <c r="D922" s="315"/>
      <c r="E922" s="321"/>
      <c r="F922" s="322"/>
      <c r="G922" s="315"/>
    </row>
    <row r="923" spans="1:7" s="32" customFormat="1" x14ac:dyDescent="0.25">
      <c r="A923" s="315"/>
      <c r="B923" s="315"/>
      <c r="C923" s="326"/>
      <c r="D923" s="315"/>
      <c r="E923" s="321"/>
      <c r="F923" s="322"/>
      <c r="G923" s="315"/>
    </row>
    <row r="924" spans="1:7" s="32" customFormat="1" x14ac:dyDescent="0.25">
      <c r="A924" s="315"/>
      <c r="B924" s="315"/>
      <c r="C924" s="326"/>
      <c r="D924" s="315"/>
      <c r="E924" s="321"/>
      <c r="F924" s="322"/>
      <c r="G924" s="315"/>
    </row>
    <row r="925" spans="1:7" s="32" customFormat="1" x14ac:dyDescent="0.25">
      <c r="A925" s="315"/>
      <c r="B925" s="315"/>
      <c r="C925" s="326"/>
      <c r="D925" s="315"/>
      <c r="E925" s="321"/>
      <c r="F925" s="322"/>
      <c r="G925" s="315"/>
    </row>
    <row r="926" spans="1:7" s="32" customFormat="1" x14ac:dyDescent="0.25">
      <c r="A926" s="315"/>
      <c r="B926" s="315"/>
      <c r="C926" s="326"/>
      <c r="D926" s="315"/>
      <c r="E926" s="321"/>
      <c r="F926" s="322"/>
      <c r="G926" s="315"/>
    </row>
    <row r="927" spans="1:7" s="32" customFormat="1" x14ac:dyDescent="0.25">
      <c r="A927" s="315"/>
      <c r="B927" s="315"/>
      <c r="C927" s="326"/>
      <c r="D927" s="315"/>
      <c r="E927" s="321"/>
      <c r="F927" s="322"/>
      <c r="G927" s="315"/>
    </row>
    <row r="928" spans="1:7" s="32" customFormat="1" x14ac:dyDescent="0.25">
      <c r="A928" s="315"/>
      <c r="B928" s="315"/>
      <c r="C928" s="326"/>
      <c r="D928" s="315"/>
      <c r="E928" s="321"/>
      <c r="F928" s="322"/>
      <c r="G928" s="315"/>
    </row>
    <row r="929" spans="1:7" s="32" customFormat="1" x14ac:dyDescent="0.25">
      <c r="A929" s="315"/>
      <c r="B929" s="315"/>
      <c r="C929" s="326"/>
      <c r="D929" s="315"/>
      <c r="E929" s="321"/>
      <c r="F929" s="322"/>
      <c r="G929" s="315"/>
    </row>
    <row r="930" spans="1:7" s="32" customFormat="1" x14ac:dyDescent="0.25">
      <c r="A930" s="315"/>
      <c r="B930" s="315"/>
      <c r="C930" s="326"/>
      <c r="D930" s="315"/>
      <c r="E930" s="321"/>
      <c r="F930" s="322"/>
      <c r="G930" s="315"/>
    </row>
    <row r="931" spans="1:7" s="32" customFormat="1" x14ac:dyDescent="0.25">
      <c r="A931" s="315"/>
      <c r="B931" s="315"/>
      <c r="C931" s="326"/>
      <c r="D931" s="315"/>
      <c r="E931" s="321"/>
      <c r="F931" s="322"/>
      <c r="G931" s="315"/>
    </row>
    <row r="932" spans="1:7" s="32" customFormat="1" x14ac:dyDescent="0.25">
      <c r="A932" s="315"/>
      <c r="B932" s="315"/>
      <c r="C932" s="326"/>
      <c r="D932" s="315"/>
      <c r="E932" s="321"/>
      <c r="F932" s="322"/>
      <c r="G932" s="315"/>
    </row>
    <row r="933" spans="1:7" s="32" customFormat="1" x14ac:dyDescent="0.25">
      <c r="A933" s="315"/>
      <c r="B933" s="315"/>
      <c r="C933" s="326"/>
      <c r="D933" s="315"/>
      <c r="E933" s="321"/>
      <c r="F933" s="322"/>
      <c r="G933" s="315"/>
    </row>
    <row r="934" spans="1:7" s="32" customFormat="1" x14ac:dyDescent="0.25">
      <c r="A934" s="315"/>
      <c r="B934" s="315"/>
      <c r="C934" s="326"/>
      <c r="D934" s="315"/>
      <c r="E934" s="321"/>
      <c r="F934" s="322"/>
      <c r="G934" s="315"/>
    </row>
    <row r="935" spans="1:7" s="32" customFormat="1" x14ac:dyDescent="0.25">
      <c r="A935" s="315"/>
      <c r="B935" s="315"/>
      <c r="C935" s="326"/>
      <c r="D935" s="315"/>
      <c r="E935" s="321"/>
      <c r="F935" s="322"/>
      <c r="G935" s="315"/>
    </row>
    <row r="936" spans="1:7" s="32" customFormat="1" x14ac:dyDescent="0.25">
      <c r="A936" s="315"/>
      <c r="B936" s="315"/>
      <c r="C936" s="326"/>
      <c r="D936" s="315"/>
      <c r="E936" s="321"/>
      <c r="F936" s="322"/>
      <c r="G936" s="315"/>
    </row>
    <row r="937" spans="1:7" s="32" customFormat="1" x14ac:dyDescent="0.25">
      <c r="A937" s="315"/>
      <c r="B937" s="315"/>
      <c r="C937" s="326"/>
      <c r="D937" s="315"/>
      <c r="E937" s="321"/>
      <c r="F937" s="322"/>
      <c r="G937" s="315"/>
    </row>
    <row r="938" spans="1:7" s="32" customFormat="1" x14ac:dyDescent="0.25">
      <c r="A938" s="315"/>
      <c r="B938" s="315"/>
      <c r="C938" s="326"/>
      <c r="D938" s="315"/>
      <c r="E938" s="321"/>
      <c r="F938" s="322"/>
      <c r="G938" s="315"/>
    </row>
    <row r="939" spans="1:7" s="32" customFormat="1" x14ac:dyDescent="0.25">
      <c r="A939" s="315"/>
      <c r="B939" s="315"/>
      <c r="C939" s="326"/>
      <c r="D939" s="315"/>
      <c r="E939" s="321"/>
      <c r="F939" s="322"/>
      <c r="G939" s="315"/>
    </row>
    <row r="940" spans="1:7" s="32" customFormat="1" x14ac:dyDescent="0.25">
      <c r="A940" s="315"/>
      <c r="B940" s="315"/>
      <c r="C940" s="326"/>
      <c r="D940" s="315"/>
      <c r="E940" s="321"/>
      <c r="F940" s="322"/>
      <c r="G940" s="315"/>
    </row>
    <row r="941" spans="1:7" s="32" customFormat="1" x14ac:dyDescent="0.25">
      <c r="A941" s="315"/>
      <c r="B941" s="315"/>
      <c r="C941" s="326"/>
      <c r="D941" s="315"/>
      <c r="E941" s="321"/>
      <c r="F941" s="322"/>
      <c r="G941" s="315"/>
    </row>
    <row r="942" spans="1:7" s="32" customFormat="1" x14ac:dyDescent="0.25">
      <c r="A942" s="315"/>
      <c r="B942" s="315"/>
      <c r="C942" s="326"/>
      <c r="D942" s="315"/>
      <c r="E942" s="321"/>
      <c r="F942" s="322"/>
      <c r="G942" s="315"/>
    </row>
    <row r="943" spans="1:7" s="32" customFormat="1" x14ac:dyDescent="0.25">
      <c r="A943" s="315"/>
      <c r="B943" s="315"/>
      <c r="C943" s="326"/>
      <c r="D943" s="315"/>
      <c r="E943" s="321"/>
      <c r="F943" s="322"/>
      <c r="G943" s="315"/>
    </row>
    <row r="944" spans="1:7" s="32" customFormat="1" x14ac:dyDescent="0.25">
      <c r="A944" s="315"/>
      <c r="B944" s="315"/>
      <c r="C944" s="326"/>
      <c r="D944" s="315"/>
      <c r="E944" s="321"/>
      <c r="F944" s="322"/>
      <c r="G944" s="315"/>
    </row>
    <row r="945" spans="1:7" s="32" customFormat="1" x14ac:dyDescent="0.25">
      <c r="A945" s="315"/>
      <c r="B945" s="315"/>
      <c r="C945" s="326"/>
      <c r="D945" s="315"/>
      <c r="E945" s="321"/>
      <c r="F945" s="322"/>
      <c r="G945" s="315"/>
    </row>
    <row r="946" spans="1:7" s="32" customFormat="1" x14ac:dyDescent="0.25">
      <c r="A946" s="315"/>
      <c r="B946" s="315"/>
      <c r="C946" s="326"/>
      <c r="D946" s="315"/>
      <c r="E946" s="321"/>
      <c r="F946" s="322"/>
      <c r="G946" s="315"/>
    </row>
    <row r="947" spans="1:7" s="32" customFormat="1" x14ac:dyDescent="0.25">
      <c r="A947" s="315"/>
      <c r="B947" s="315"/>
      <c r="C947" s="326"/>
      <c r="D947" s="315"/>
      <c r="E947" s="321"/>
      <c r="F947" s="322"/>
      <c r="G947" s="315"/>
    </row>
    <row r="948" spans="1:7" s="32" customFormat="1" x14ac:dyDescent="0.25">
      <c r="A948" s="315"/>
      <c r="B948" s="315"/>
      <c r="C948" s="326"/>
      <c r="D948" s="315"/>
      <c r="E948" s="321"/>
      <c r="F948" s="322"/>
      <c r="G948" s="315"/>
    </row>
    <row r="949" spans="1:7" s="32" customFormat="1" x14ac:dyDescent="0.25">
      <c r="A949" s="315"/>
      <c r="B949" s="315"/>
      <c r="C949" s="326"/>
      <c r="D949" s="315"/>
      <c r="E949" s="321"/>
      <c r="F949" s="322"/>
      <c r="G949" s="315"/>
    </row>
    <row r="950" spans="1:7" s="32" customFormat="1" x14ac:dyDescent="0.25">
      <c r="A950" s="315"/>
      <c r="B950" s="315"/>
      <c r="C950" s="326"/>
      <c r="D950" s="315"/>
      <c r="E950" s="321"/>
      <c r="F950" s="322"/>
      <c r="G950" s="315"/>
    </row>
    <row r="951" spans="1:7" s="32" customFormat="1" x14ac:dyDescent="0.25">
      <c r="A951" s="315"/>
      <c r="B951" s="315"/>
      <c r="C951" s="326"/>
      <c r="D951" s="315"/>
      <c r="E951" s="321"/>
      <c r="F951" s="322"/>
      <c r="G951" s="315"/>
    </row>
    <row r="952" spans="1:7" s="32" customFormat="1" x14ac:dyDescent="0.25">
      <c r="A952" s="315"/>
      <c r="B952" s="315"/>
      <c r="C952" s="326"/>
      <c r="D952" s="315"/>
      <c r="E952" s="321"/>
      <c r="F952" s="322"/>
      <c r="G952" s="315"/>
    </row>
    <row r="953" spans="1:7" s="32" customFormat="1" x14ac:dyDescent="0.25">
      <c r="A953" s="315"/>
      <c r="B953" s="315"/>
      <c r="C953" s="326"/>
      <c r="D953" s="315"/>
      <c r="E953" s="321"/>
      <c r="F953" s="322"/>
      <c r="G953" s="315"/>
    </row>
    <row r="954" spans="1:7" s="32" customFormat="1" x14ac:dyDescent="0.25">
      <c r="A954" s="315"/>
      <c r="B954" s="315"/>
      <c r="C954" s="326"/>
      <c r="D954" s="315"/>
      <c r="E954" s="321"/>
      <c r="F954" s="322"/>
      <c r="G954" s="315"/>
    </row>
    <row r="955" spans="1:7" s="32" customFormat="1" x14ac:dyDescent="0.25">
      <c r="A955" s="315"/>
      <c r="B955" s="315"/>
      <c r="C955" s="326"/>
      <c r="D955" s="315"/>
      <c r="E955" s="321"/>
      <c r="F955" s="322"/>
      <c r="G955" s="315"/>
    </row>
    <row r="956" spans="1:7" s="32" customFormat="1" x14ac:dyDescent="0.25">
      <c r="A956" s="315"/>
      <c r="B956" s="315"/>
      <c r="C956" s="326"/>
      <c r="D956" s="315"/>
      <c r="E956" s="321"/>
      <c r="F956" s="322"/>
      <c r="G956" s="315"/>
    </row>
    <row r="957" spans="1:7" s="32" customFormat="1" x14ac:dyDescent="0.25">
      <c r="A957" s="315"/>
      <c r="B957" s="315"/>
      <c r="C957" s="326"/>
      <c r="D957" s="315"/>
      <c r="E957" s="321"/>
      <c r="F957" s="322"/>
      <c r="G957" s="315"/>
    </row>
    <row r="958" spans="1:7" s="32" customFormat="1" x14ac:dyDescent="0.25">
      <c r="A958" s="315"/>
      <c r="B958" s="315"/>
      <c r="C958" s="326"/>
      <c r="D958" s="315"/>
      <c r="E958" s="321"/>
      <c r="F958" s="322"/>
      <c r="G958" s="315"/>
    </row>
    <row r="959" spans="1:7" s="32" customFormat="1" x14ac:dyDescent="0.25">
      <c r="A959" s="315"/>
      <c r="B959" s="315"/>
      <c r="C959" s="326"/>
      <c r="D959" s="315"/>
      <c r="E959" s="321"/>
      <c r="F959" s="322"/>
      <c r="G959" s="315"/>
    </row>
    <row r="960" spans="1:7" s="32" customFormat="1" x14ac:dyDescent="0.25">
      <c r="A960" s="315"/>
      <c r="B960" s="315"/>
      <c r="C960" s="326"/>
      <c r="D960" s="315"/>
      <c r="E960" s="321"/>
      <c r="F960" s="322"/>
      <c r="G960" s="315"/>
    </row>
    <row r="961" spans="1:7" s="32" customFormat="1" x14ac:dyDescent="0.25">
      <c r="A961" s="315"/>
      <c r="B961" s="315"/>
      <c r="C961" s="326"/>
      <c r="D961" s="315"/>
      <c r="E961" s="321"/>
      <c r="F961" s="322"/>
      <c r="G961" s="315"/>
    </row>
    <row r="962" spans="1:7" s="32" customFormat="1" x14ac:dyDescent="0.25">
      <c r="A962" s="315"/>
      <c r="B962" s="315"/>
      <c r="C962" s="326"/>
      <c r="D962" s="315"/>
      <c r="E962" s="321"/>
      <c r="F962" s="322"/>
      <c r="G962" s="315"/>
    </row>
    <row r="963" spans="1:7" s="32" customFormat="1" x14ac:dyDescent="0.25">
      <c r="A963" s="315"/>
      <c r="B963" s="315"/>
      <c r="C963" s="326"/>
      <c r="D963" s="315"/>
      <c r="E963" s="321"/>
      <c r="F963" s="322"/>
      <c r="G963" s="315"/>
    </row>
    <row r="964" spans="1:7" s="32" customFormat="1" x14ac:dyDescent="0.25">
      <c r="A964" s="315"/>
      <c r="B964" s="315"/>
      <c r="C964" s="326"/>
      <c r="D964" s="315"/>
      <c r="E964" s="321"/>
      <c r="F964" s="322"/>
      <c r="G964" s="315"/>
    </row>
    <row r="965" spans="1:7" s="32" customFormat="1" x14ac:dyDescent="0.25">
      <c r="A965" s="315"/>
      <c r="B965" s="315"/>
      <c r="C965" s="326"/>
      <c r="D965" s="315"/>
      <c r="E965" s="321"/>
      <c r="F965" s="322"/>
      <c r="G965" s="315"/>
    </row>
    <row r="966" spans="1:7" s="32" customFormat="1" x14ac:dyDescent="0.25">
      <c r="A966" s="315"/>
      <c r="B966" s="315"/>
      <c r="C966" s="326"/>
      <c r="D966" s="315"/>
      <c r="E966" s="321"/>
      <c r="F966" s="322"/>
      <c r="G966" s="315"/>
    </row>
    <row r="967" spans="1:7" s="32" customFormat="1" x14ac:dyDescent="0.25">
      <c r="A967" s="315"/>
      <c r="B967" s="315"/>
      <c r="C967" s="326"/>
      <c r="D967" s="315"/>
      <c r="E967" s="321"/>
      <c r="F967" s="322"/>
      <c r="G967" s="315"/>
    </row>
    <row r="968" spans="1:7" s="32" customFormat="1" x14ac:dyDescent="0.25">
      <c r="A968" s="315"/>
      <c r="B968" s="315"/>
      <c r="C968" s="326"/>
      <c r="D968" s="315"/>
      <c r="E968" s="321"/>
      <c r="F968" s="322"/>
      <c r="G968" s="315"/>
    </row>
    <row r="969" spans="1:7" s="32" customFormat="1" x14ac:dyDescent="0.25">
      <c r="A969" s="315"/>
      <c r="B969" s="315"/>
      <c r="C969" s="326"/>
      <c r="D969" s="315"/>
      <c r="E969" s="321"/>
      <c r="F969" s="322"/>
      <c r="G969" s="315"/>
    </row>
    <row r="970" spans="1:7" s="32" customFormat="1" x14ac:dyDescent="0.25">
      <c r="A970" s="315"/>
      <c r="B970" s="315"/>
      <c r="C970" s="326"/>
      <c r="D970" s="315"/>
      <c r="E970" s="321"/>
      <c r="F970" s="322"/>
      <c r="G970" s="315"/>
    </row>
    <row r="971" spans="1:7" s="32" customFormat="1" x14ac:dyDescent="0.25">
      <c r="A971" s="315"/>
      <c r="B971" s="315"/>
      <c r="C971" s="326"/>
      <c r="D971" s="315"/>
      <c r="E971" s="321"/>
      <c r="F971" s="322"/>
      <c r="G971" s="315"/>
    </row>
    <row r="972" spans="1:7" s="32" customFormat="1" x14ac:dyDescent="0.25">
      <c r="A972" s="315"/>
      <c r="B972" s="315"/>
      <c r="C972" s="326"/>
      <c r="D972" s="315"/>
      <c r="E972" s="321"/>
      <c r="F972" s="322"/>
      <c r="G972" s="315"/>
    </row>
    <row r="973" spans="1:7" s="32" customFormat="1" x14ac:dyDescent="0.25">
      <c r="A973" s="315"/>
      <c r="B973" s="315"/>
      <c r="C973" s="326"/>
      <c r="D973" s="315"/>
      <c r="E973" s="321"/>
      <c r="F973" s="322"/>
      <c r="G973" s="315"/>
    </row>
    <row r="974" spans="1:7" s="32" customFormat="1" x14ac:dyDescent="0.25">
      <c r="A974" s="315"/>
      <c r="B974" s="315"/>
      <c r="C974" s="326"/>
      <c r="D974" s="315"/>
      <c r="E974" s="321"/>
      <c r="F974" s="322"/>
      <c r="G974" s="315"/>
    </row>
    <row r="975" spans="1:7" s="32" customFormat="1" x14ac:dyDescent="0.25">
      <c r="A975" s="315"/>
      <c r="B975" s="315"/>
      <c r="C975" s="326"/>
      <c r="D975" s="315"/>
      <c r="E975" s="321"/>
      <c r="F975" s="322"/>
      <c r="G975" s="315"/>
    </row>
    <row r="976" spans="1:7" s="32" customFormat="1" x14ac:dyDescent="0.25">
      <c r="A976" s="315"/>
      <c r="B976" s="315"/>
      <c r="C976" s="326"/>
      <c r="D976" s="315"/>
      <c r="E976" s="321"/>
      <c r="F976" s="322"/>
      <c r="G976" s="315"/>
    </row>
    <row r="977" spans="1:7" s="32" customFormat="1" x14ac:dyDescent="0.25">
      <c r="A977" s="315"/>
      <c r="B977" s="315"/>
      <c r="C977" s="326"/>
      <c r="D977" s="315"/>
      <c r="E977" s="321"/>
      <c r="F977" s="322"/>
      <c r="G977" s="315"/>
    </row>
    <row r="978" spans="1:7" s="32" customFormat="1" x14ac:dyDescent="0.25">
      <c r="A978" s="315"/>
      <c r="B978" s="315"/>
      <c r="C978" s="326"/>
      <c r="D978" s="315"/>
      <c r="E978" s="321"/>
      <c r="F978" s="322"/>
      <c r="G978" s="315"/>
    </row>
    <row r="979" spans="1:7" s="32" customFormat="1" x14ac:dyDescent="0.25">
      <c r="A979" s="315"/>
      <c r="B979" s="315"/>
      <c r="C979" s="326"/>
      <c r="D979" s="315"/>
      <c r="E979" s="321"/>
      <c r="F979" s="322"/>
      <c r="G979" s="315"/>
    </row>
    <row r="980" spans="1:7" s="32" customFormat="1" x14ac:dyDescent="0.25">
      <c r="A980" s="315"/>
      <c r="B980" s="315"/>
      <c r="C980" s="326"/>
      <c r="D980" s="315"/>
      <c r="E980" s="321"/>
      <c r="F980" s="322"/>
      <c r="G980" s="315"/>
    </row>
    <row r="981" spans="1:7" s="32" customFormat="1" x14ac:dyDescent="0.25">
      <c r="A981" s="315"/>
      <c r="B981" s="315"/>
      <c r="C981" s="326"/>
      <c r="D981" s="315"/>
      <c r="E981" s="321"/>
      <c r="F981" s="322"/>
      <c r="G981" s="315"/>
    </row>
    <row r="982" spans="1:7" s="32" customFormat="1" x14ac:dyDescent="0.25">
      <c r="A982" s="315"/>
      <c r="B982" s="315"/>
      <c r="C982" s="326"/>
      <c r="D982" s="315"/>
      <c r="E982" s="321"/>
      <c r="F982" s="322"/>
      <c r="G982" s="315"/>
    </row>
    <row r="983" spans="1:7" s="32" customFormat="1" x14ac:dyDescent="0.25">
      <c r="A983" s="315"/>
      <c r="B983" s="315"/>
      <c r="C983" s="326"/>
      <c r="D983" s="315"/>
      <c r="E983" s="321"/>
      <c r="F983" s="322"/>
      <c r="G983" s="315"/>
    </row>
    <row r="984" spans="1:7" s="32" customFormat="1" x14ac:dyDescent="0.25">
      <c r="A984" s="315"/>
      <c r="B984" s="315"/>
      <c r="C984" s="326"/>
      <c r="D984" s="315"/>
      <c r="E984" s="321"/>
      <c r="F984" s="322"/>
      <c r="G984" s="315"/>
    </row>
    <row r="985" spans="1:7" s="32" customFormat="1" x14ac:dyDescent="0.25">
      <c r="A985" s="315"/>
      <c r="B985" s="315"/>
      <c r="C985" s="326"/>
      <c r="D985" s="315"/>
      <c r="E985" s="321"/>
      <c r="F985" s="322"/>
      <c r="G985" s="315"/>
    </row>
    <row r="986" spans="1:7" s="32" customFormat="1" x14ac:dyDescent="0.25">
      <c r="A986" s="315"/>
      <c r="B986" s="315"/>
      <c r="C986" s="326"/>
      <c r="D986" s="315"/>
      <c r="E986" s="321"/>
      <c r="F986" s="322"/>
      <c r="G986" s="315"/>
    </row>
    <row r="987" spans="1:7" s="32" customFormat="1" x14ac:dyDescent="0.25">
      <c r="A987" s="315"/>
      <c r="B987" s="315"/>
      <c r="C987" s="326"/>
      <c r="D987" s="315"/>
      <c r="E987" s="321"/>
      <c r="F987" s="322"/>
      <c r="G987" s="315"/>
    </row>
    <row r="988" spans="1:7" s="32" customFormat="1" x14ac:dyDescent="0.25">
      <c r="A988" s="315"/>
      <c r="B988" s="315"/>
      <c r="C988" s="326"/>
      <c r="D988" s="315"/>
      <c r="E988" s="321"/>
      <c r="F988" s="322"/>
      <c r="G988" s="315"/>
    </row>
    <row r="989" spans="1:7" s="32" customFormat="1" x14ac:dyDescent="0.25">
      <c r="A989" s="315"/>
      <c r="B989" s="315"/>
      <c r="C989" s="326"/>
      <c r="D989" s="315"/>
      <c r="E989" s="321"/>
      <c r="F989" s="322"/>
      <c r="G989" s="315"/>
    </row>
    <row r="990" spans="1:7" s="32" customFormat="1" x14ac:dyDescent="0.25">
      <c r="A990" s="315"/>
      <c r="B990" s="315"/>
      <c r="C990" s="326"/>
      <c r="D990" s="315"/>
      <c r="E990" s="321"/>
      <c r="F990" s="322"/>
      <c r="G990" s="315"/>
    </row>
    <row r="991" spans="1:7" s="32" customFormat="1" x14ac:dyDescent="0.25">
      <c r="A991" s="315"/>
      <c r="B991" s="315"/>
      <c r="C991" s="326"/>
      <c r="D991" s="315"/>
      <c r="E991" s="321"/>
      <c r="F991" s="322"/>
      <c r="G991" s="315"/>
    </row>
    <row r="992" spans="1:7" s="32" customFormat="1" x14ac:dyDescent="0.25">
      <c r="A992" s="315"/>
      <c r="B992" s="315"/>
      <c r="C992" s="326"/>
      <c r="D992" s="315"/>
      <c r="E992" s="321"/>
      <c r="F992" s="322"/>
      <c r="G992" s="315"/>
    </row>
    <row r="993" spans="1:7" s="32" customFormat="1" x14ac:dyDescent="0.25">
      <c r="A993" s="315"/>
      <c r="B993" s="315"/>
      <c r="C993" s="326"/>
      <c r="D993" s="315"/>
      <c r="E993" s="321"/>
      <c r="F993" s="322"/>
      <c r="G993" s="315"/>
    </row>
    <row r="994" spans="1:7" s="32" customFormat="1" x14ac:dyDescent="0.25">
      <c r="A994" s="315"/>
      <c r="B994" s="315"/>
      <c r="C994" s="326"/>
      <c r="D994" s="315"/>
      <c r="E994" s="321"/>
      <c r="F994" s="322"/>
      <c r="G994" s="315"/>
    </row>
    <row r="995" spans="1:7" s="32" customFormat="1" x14ac:dyDescent="0.25">
      <c r="A995" s="315"/>
      <c r="B995" s="315"/>
      <c r="C995" s="326"/>
      <c r="D995" s="315"/>
      <c r="E995" s="321"/>
      <c r="F995" s="322"/>
      <c r="G995" s="315"/>
    </row>
    <row r="996" spans="1:7" s="32" customFormat="1" x14ac:dyDescent="0.25">
      <c r="A996" s="315"/>
      <c r="B996" s="315"/>
      <c r="C996" s="326"/>
      <c r="D996" s="315"/>
      <c r="E996" s="321"/>
      <c r="F996" s="322"/>
      <c r="G996" s="315"/>
    </row>
    <row r="997" spans="1:7" s="32" customFormat="1" x14ac:dyDescent="0.25">
      <c r="A997" s="315"/>
      <c r="B997" s="315"/>
      <c r="C997" s="326"/>
      <c r="D997" s="315"/>
      <c r="E997" s="321"/>
      <c r="F997" s="322"/>
      <c r="G997" s="315"/>
    </row>
    <row r="998" spans="1:7" s="32" customFormat="1" x14ac:dyDescent="0.25">
      <c r="A998" s="315"/>
      <c r="B998" s="315"/>
      <c r="C998" s="326"/>
      <c r="D998" s="315"/>
      <c r="E998" s="321"/>
      <c r="F998" s="322"/>
      <c r="G998" s="315"/>
    </row>
    <row r="999" spans="1:7" s="32" customFormat="1" x14ac:dyDescent="0.25">
      <c r="A999" s="315"/>
      <c r="B999" s="315"/>
      <c r="C999" s="326"/>
      <c r="D999" s="315"/>
      <c r="E999" s="321"/>
      <c r="F999" s="322"/>
      <c r="G999" s="315"/>
    </row>
    <row r="1000" spans="1:7" s="32" customFormat="1" x14ac:dyDescent="0.25">
      <c r="A1000" s="315"/>
      <c r="B1000" s="315"/>
      <c r="C1000" s="326"/>
      <c r="D1000" s="315"/>
      <c r="E1000" s="321"/>
      <c r="F1000" s="322"/>
      <c r="G1000" s="315"/>
    </row>
    <row r="1001" spans="1:7" s="32" customFormat="1" x14ac:dyDescent="0.25">
      <c r="A1001" s="315"/>
      <c r="B1001" s="315"/>
      <c r="C1001" s="326"/>
      <c r="D1001" s="315"/>
      <c r="E1001" s="321"/>
      <c r="F1001" s="322"/>
      <c r="G1001" s="315"/>
    </row>
    <row r="1002" spans="1:7" s="32" customFormat="1" x14ac:dyDescent="0.25">
      <c r="A1002" s="315"/>
      <c r="B1002" s="315"/>
      <c r="C1002" s="326"/>
      <c r="D1002" s="315"/>
      <c r="E1002" s="321"/>
      <c r="F1002" s="322"/>
      <c r="G1002" s="315"/>
    </row>
    <row r="1003" spans="1:7" s="32" customFormat="1" x14ac:dyDescent="0.25">
      <c r="A1003" s="315"/>
      <c r="B1003" s="315"/>
      <c r="C1003" s="326"/>
      <c r="D1003" s="315"/>
      <c r="E1003" s="321"/>
      <c r="F1003" s="322"/>
      <c r="G1003" s="315"/>
    </row>
    <row r="1004" spans="1:7" s="32" customFormat="1" x14ac:dyDescent="0.25">
      <c r="A1004" s="315"/>
      <c r="B1004" s="315"/>
      <c r="C1004" s="326"/>
      <c r="D1004" s="315"/>
      <c r="E1004" s="321"/>
      <c r="F1004" s="322"/>
      <c r="G1004" s="315"/>
    </row>
    <row r="1005" spans="1:7" s="32" customFormat="1" x14ac:dyDescent="0.25">
      <c r="A1005" s="315"/>
      <c r="B1005" s="315"/>
      <c r="C1005" s="326"/>
      <c r="D1005" s="315"/>
      <c r="E1005" s="321"/>
      <c r="F1005" s="322"/>
      <c r="G1005" s="315"/>
    </row>
    <row r="1006" spans="1:7" s="32" customFormat="1" x14ac:dyDescent="0.25">
      <c r="A1006" s="315"/>
      <c r="B1006" s="315"/>
      <c r="C1006" s="326"/>
      <c r="D1006" s="315"/>
      <c r="E1006" s="321"/>
      <c r="F1006" s="322"/>
      <c r="G1006" s="315"/>
    </row>
    <row r="1007" spans="1:7" s="32" customFormat="1" x14ac:dyDescent="0.25">
      <c r="A1007" s="315"/>
      <c r="B1007" s="315"/>
      <c r="C1007" s="326"/>
      <c r="D1007" s="315"/>
      <c r="E1007" s="321"/>
      <c r="F1007" s="322"/>
      <c r="G1007" s="315"/>
    </row>
    <row r="1008" spans="1:7" s="32" customFormat="1" x14ac:dyDescent="0.25">
      <c r="A1008" s="315"/>
      <c r="B1008" s="315"/>
      <c r="C1008" s="326"/>
      <c r="D1008" s="315"/>
      <c r="E1008" s="321"/>
      <c r="F1008" s="322"/>
      <c r="G1008" s="315"/>
    </row>
    <row r="1009" spans="1:7" s="32" customFormat="1" x14ac:dyDescent="0.25">
      <c r="A1009" s="315"/>
      <c r="B1009" s="315"/>
      <c r="C1009" s="326"/>
      <c r="D1009" s="315"/>
      <c r="E1009" s="321"/>
      <c r="F1009" s="322"/>
      <c r="G1009" s="315"/>
    </row>
    <row r="1010" spans="1:7" s="32" customFormat="1" x14ac:dyDescent="0.25">
      <c r="A1010" s="315"/>
      <c r="B1010" s="315"/>
      <c r="C1010" s="326"/>
      <c r="D1010" s="315"/>
      <c r="E1010" s="321"/>
      <c r="F1010" s="322"/>
      <c r="G1010" s="315"/>
    </row>
    <row r="1011" spans="1:7" s="32" customFormat="1" x14ac:dyDescent="0.25">
      <c r="A1011" s="315"/>
      <c r="B1011" s="315"/>
      <c r="C1011" s="326"/>
      <c r="D1011" s="315"/>
      <c r="E1011" s="321"/>
      <c r="F1011" s="322"/>
      <c r="G1011" s="315"/>
    </row>
    <row r="1012" spans="1:7" s="32" customFormat="1" x14ac:dyDescent="0.25">
      <c r="A1012" s="315"/>
      <c r="B1012" s="315"/>
      <c r="C1012" s="326"/>
      <c r="D1012" s="315"/>
      <c r="E1012" s="321"/>
      <c r="F1012" s="322"/>
      <c r="G1012" s="315"/>
    </row>
    <row r="1013" spans="1:7" s="32" customFormat="1" x14ac:dyDescent="0.25">
      <c r="A1013" s="315"/>
      <c r="B1013" s="315"/>
      <c r="C1013" s="326"/>
      <c r="D1013" s="315"/>
      <c r="E1013" s="321"/>
      <c r="F1013" s="322"/>
      <c r="G1013" s="315"/>
    </row>
    <row r="1014" spans="1:7" s="32" customFormat="1" x14ac:dyDescent="0.25">
      <c r="A1014" s="315"/>
      <c r="B1014" s="315"/>
      <c r="C1014" s="326"/>
      <c r="D1014" s="315"/>
      <c r="E1014" s="321"/>
      <c r="F1014" s="322"/>
      <c r="G1014" s="315"/>
    </row>
    <row r="1015" spans="1:7" s="32" customFormat="1" x14ac:dyDescent="0.25">
      <c r="A1015" s="315"/>
      <c r="B1015" s="315"/>
      <c r="C1015" s="326"/>
      <c r="D1015" s="315"/>
      <c r="E1015" s="321"/>
      <c r="F1015" s="322"/>
      <c r="G1015" s="315"/>
    </row>
    <row r="1016" spans="1:7" s="32" customFormat="1" x14ac:dyDescent="0.25">
      <c r="A1016" s="315"/>
      <c r="B1016" s="315"/>
      <c r="C1016" s="326"/>
      <c r="D1016" s="315"/>
      <c r="E1016" s="321"/>
      <c r="F1016" s="322"/>
      <c r="G1016" s="315"/>
    </row>
    <row r="1017" spans="1:7" s="32" customFormat="1" x14ac:dyDescent="0.25">
      <c r="A1017" s="315"/>
      <c r="B1017" s="315"/>
      <c r="C1017" s="326"/>
      <c r="D1017" s="315"/>
      <c r="E1017" s="321"/>
      <c r="F1017" s="322"/>
      <c r="G1017" s="315"/>
    </row>
    <row r="1018" spans="1:7" s="32" customFormat="1" x14ac:dyDescent="0.25">
      <c r="A1018" s="315"/>
      <c r="B1018" s="315"/>
      <c r="C1018" s="326"/>
      <c r="D1018" s="315"/>
      <c r="E1018" s="321"/>
      <c r="F1018" s="322"/>
      <c r="G1018" s="315"/>
    </row>
    <row r="1019" spans="1:7" s="32" customFormat="1" x14ac:dyDescent="0.25">
      <c r="A1019" s="315"/>
      <c r="B1019" s="315"/>
      <c r="C1019" s="326"/>
      <c r="D1019" s="315"/>
      <c r="E1019" s="321"/>
      <c r="F1019" s="322"/>
      <c r="G1019" s="315"/>
    </row>
    <row r="1020" spans="1:7" s="32" customFormat="1" x14ac:dyDescent="0.25">
      <c r="A1020" s="315"/>
      <c r="B1020" s="315"/>
      <c r="C1020" s="326"/>
      <c r="D1020" s="315"/>
      <c r="E1020" s="321"/>
      <c r="F1020" s="322"/>
      <c r="G1020" s="315"/>
    </row>
    <row r="1021" spans="1:7" s="32" customFormat="1" x14ac:dyDescent="0.25">
      <c r="A1021" s="315"/>
      <c r="B1021" s="315"/>
      <c r="C1021" s="326"/>
      <c r="D1021" s="315"/>
      <c r="E1021" s="321"/>
      <c r="F1021" s="322"/>
      <c r="G1021" s="315"/>
    </row>
    <row r="1022" spans="1:7" s="32" customFormat="1" x14ac:dyDescent="0.25">
      <c r="A1022" s="315"/>
      <c r="B1022" s="315"/>
      <c r="C1022" s="326"/>
      <c r="D1022" s="315"/>
      <c r="E1022" s="321"/>
      <c r="F1022" s="322"/>
      <c r="G1022" s="315"/>
    </row>
    <row r="1023" spans="1:7" s="32" customFormat="1" x14ac:dyDescent="0.25">
      <c r="A1023" s="315"/>
      <c r="B1023" s="315"/>
      <c r="C1023" s="326"/>
      <c r="D1023" s="315"/>
      <c r="E1023" s="321"/>
      <c r="F1023" s="322"/>
      <c r="G1023" s="315"/>
    </row>
    <row r="1024" spans="1:7" s="32" customFormat="1" x14ac:dyDescent="0.25">
      <c r="A1024" s="315"/>
      <c r="B1024" s="315"/>
      <c r="C1024" s="326"/>
      <c r="D1024" s="315"/>
      <c r="E1024" s="321"/>
      <c r="F1024" s="322"/>
      <c r="G1024" s="315"/>
    </row>
    <row r="1025" spans="1:7" s="32" customFormat="1" x14ac:dyDescent="0.25">
      <c r="A1025" s="315"/>
      <c r="B1025" s="315"/>
      <c r="C1025" s="326"/>
      <c r="D1025" s="315"/>
      <c r="E1025" s="321"/>
      <c r="F1025" s="322"/>
      <c r="G1025" s="315"/>
    </row>
    <row r="1026" spans="1:7" s="32" customFormat="1" x14ac:dyDescent="0.25">
      <c r="A1026" s="315"/>
      <c r="B1026" s="315"/>
      <c r="C1026" s="326"/>
      <c r="D1026" s="315"/>
      <c r="E1026" s="321"/>
      <c r="F1026" s="322"/>
      <c r="G1026" s="315"/>
    </row>
    <row r="1027" spans="1:7" s="32" customFormat="1" x14ac:dyDescent="0.25">
      <c r="A1027" s="315"/>
      <c r="B1027" s="315"/>
      <c r="C1027" s="326"/>
      <c r="D1027" s="315"/>
      <c r="E1027" s="321"/>
      <c r="F1027" s="322"/>
      <c r="G1027" s="315"/>
    </row>
    <row r="1028" spans="1:7" s="32" customFormat="1" x14ac:dyDescent="0.25">
      <c r="A1028" s="315"/>
      <c r="B1028" s="315"/>
      <c r="C1028" s="326"/>
      <c r="D1028" s="315"/>
      <c r="E1028" s="321"/>
      <c r="F1028" s="322"/>
      <c r="G1028" s="315"/>
    </row>
    <row r="1029" spans="1:7" s="32" customFormat="1" x14ac:dyDescent="0.25">
      <c r="A1029" s="315"/>
      <c r="B1029" s="315"/>
      <c r="C1029" s="326"/>
      <c r="D1029" s="315"/>
      <c r="E1029" s="321"/>
      <c r="F1029" s="322"/>
      <c r="G1029" s="315"/>
    </row>
    <row r="1030" spans="1:7" s="32" customFormat="1" x14ac:dyDescent="0.25">
      <c r="A1030" s="315"/>
      <c r="B1030" s="315"/>
      <c r="C1030" s="326"/>
      <c r="D1030" s="315"/>
      <c r="E1030" s="321"/>
      <c r="F1030" s="322"/>
      <c r="G1030" s="315"/>
    </row>
    <row r="1031" spans="1:7" s="32" customFormat="1" x14ac:dyDescent="0.25">
      <c r="A1031" s="315"/>
      <c r="B1031" s="315"/>
      <c r="C1031" s="326"/>
      <c r="D1031" s="315"/>
      <c r="E1031" s="321"/>
      <c r="F1031" s="322"/>
      <c r="G1031" s="315"/>
    </row>
    <row r="1032" spans="1:7" s="32" customFormat="1" x14ac:dyDescent="0.25">
      <c r="A1032" s="315"/>
      <c r="B1032" s="315"/>
      <c r="C1032" s="326"/>
      <c r="D1032" s="315"/>
      <c r="E1032" s="321"/>
      <c r="F1032" s="322"/>
      <c r="G1032" s="315"/>
    </row>
    <row r="1033" spans="1:7" s="32" customFormat="1" x14ac:dyDescent="0.25">
      <c r="A1033" s="315"/>
      <c r="B1033" s="315"/>
      <c r="C1033" s="326"/>
      <c r="D1033" s="315"/>
      <c r="E1033" s="321"/>
      <c r="F1033" s="322"/>
      <c r="G1033" s="315"/>
    </row>
    <row r="1034" spans="1:7" s="32" customFormat="1" x14ac:dyDescent="0.25">
      <c r="A1034" s="315"/>
      <c r="B1034" s="315"/>
      <c r="C1034" s="326"/>
      <c r="D1034" s="315"/>
      <c r="E1034" s="321"/>
      <c r="F1034" s="322"/>
      <c r="G1034" s="315"/>
    </row>
    <row r="1035" spans="1:7" s="32" customFormat="1" x14ac:dyDescent="0.25">
      <c r="A1035" s="315"/>
      <c r="B1035" s="315"/>
      <c r="C1035" s="326"/>
      <c r="D1035" s="315"/>
      <c r="E1035" s="321"/>
      <c r="F1035" s="322"/>
      <c r="G1035" s="315"/>
    </row>
    <row r="1036" spans="1:7" s="32" customFormat="1" x14ac:dyDescent="0.25">
      <c r="A1036" s="315"/>
      <c r="B1036" s="315"/>
      <c r="C1036" s="326"/>
      <c r="D1036" s="315"/>
      <c r="E1036" s="321"/>
      <c r="F1036" s="322"/>
      <c r="G1036" s="315"/>
    </row>
    <row r="1037" spans="1:7" s="32" customFormat="1" x14ac:dyDescent="0.25">
      <c r="A1037" s="315"/>
      <c r="B1037" s="315"/>
      <c r="C1037" s="326"/>
      <c r="D1037" s="315"/>
      <c r="E1037" s="321"/>
      <c r="F1037" s="322"/>
      <c r="G1037" s="315"/>
    </row>
    <row r="1038" spans="1:7" s="32" customFormat="1" x14ac:dyDescent="0.25">
      <c r="A1038" s="315"/>
      <c r="B1038" s="315"/>
      <c r="C1038" s="326"/>
      <c r="D1038" s="315"/>
      <c r="E1038" s="321"/>
      <c r="F1038" s="322"/>
      <c r="G1038" s="315"/>
    </row>
    <row r="1039" spans="1:7" s="32" customFormat="1" x14ac:dyDescent="0.25">
      <c r="A1039" s="315"/>
      <c r="B1039" s="315"/>
      <c r="C1039" s="326"/>
      <c r="D1039" s="315"/>
      <c r="E1039" s="321"/>
      <c r="F1039" s="322"/>
      <c r="G1039" s="315"/>
    </row>
    <row r="1040" spans="1:7" s="32" customFormat="1" x14ac:dyDescent="0.25">
      <c r="A1040" s="315"/>
      <c r="B1040" s="315"/>
      <c r="C1040" s="326"/>
      <c r="D1040" s="315"/>
      <c r="E1040" s="321"/>
      <c r="F1040" s="322"/>
      <c r="G1040" s="315"/>
    </row>
    <row r="1041" spans="1:7" s="32" customFormat="1" x14ac:dyDescent="0.25">
      <c r="A1041" s="315"/>
      <c r="B1041" s="315"/>
      <c r="C1041" s="326"/>
      <c r="D1041" s="315"/>
      <c r="E1041" s="321"/>
      <c r="F1041" s="322"/>
      <c r="G1041" s="315"/>
    </row>
    <row r="1042" spans="1:7" s="32" customFormat="1" x14ac:dyDescent="0.25">
      <c r="A1042" s="315"/>
      <c r="B1042" s="315"/>
      <c r="C1042" s="326"/>
      <c r="D1042" s="315"/>
      <c r="E1042" s="321"/>
      <c r="F1042" s="322"/>
      <c r="G1042" s="315"/>
    </row>
    <row r="1043" spans="1:7" s="32" customFormat="1" x14ac:dyDescent="0.25">
      <c r="A1043" s="315"/>
      <c r="B1043" s="315"/>
      <c r="C1043" s="326"/>
      <c r="D1043" s="315"/>
      <c r="E1043" s="321"/>
      <c r="F1043" s="322"/>
      <c r="G1043" s="315"/>
    </row>
    <row r="1044" spans="1:7" s="32" customFormat="1" x14ac:dyDescent="0.25">
      <c r="A1044" s="315"/>
      <c r="B1044" s="315"/>
      <c r="C1044" s="326"/>
      <c r="D1044" s="315"/>
      <c r="E1044" s="321"/>
      <c r="F1044" s="322"/>
      <c r="G1044" s="315"/>
    </row>
    <row r="1045" spans="1:7" s="32" customFormat="1" x14ac:dyDescent="0.25">
      <c r="A1045" s="315"/>
      <c r="B1045" s="315"/>
      <c r="C1045" s="326"/>
      <c r="D1045" s="315"/>
      <c r="E1045" s="321"/>
      <c r="F1045" s="322"/>
      <c r="G1045" s="315"/>
    </row>
    <row r="1046" spans="1:7" s="32" customFormat="1" x14ac:dyDescent="0.25">
      <c r="A1046" s="315"/>
      <c r="B1046" s="315"/>
      <c r="C1046" s="326"/>
      <c r="D1046" s="315"/>
      <c r="E1046" s="321"/>
      <c r="F1046" s="322"/>
      <c r="G1046" s="315"/>
    </row>
    <row r="1047" spans="1:7" s="32" customFormat="1" x14ac:dyDescent="0.25">
      <c r="A1047" s="315"/>
      <c r="B1047" s="315"/>
      <c r="C1047" s="326"/>
      <c r="D1047" s="315"/>
      <c r="E1047" s="321"/>
      <c r="F1047" s="322"/>
      <c r="G1047" s="315"/>
    </row>
    <row r="1048" spans="1:7" s="32" customFormat="1" x14ac:dyDescent="0.25">
      <c r="A1048" s="315"/>
      <c r="B1048" s="315"/>
      <c r="C1048" s="326"/>
      <c r="D1048" s="315"/>
      <c r="E1048" s="321"/>
      <c r="F1048" s="322"/>
      <c r="G1048" s="315"/>
    </row>
    <row r="1049" spans="1:7" s="32" customFormat="1" x14ac:dyDescent="0.25">
      <c r="A1049" s="315"/>
      <c r="B1049" s="315"/>
      <c r="C1049" s="326"/>
      <c r="D1049" s="315"/>
      <c r="E1049" s="321"/>
      <c r="F1049" s="322"/>
      <c r="G1049" s="315"/>
    </row>
    <row r="1050" spans="1:7" s="32" customFormat="1" x14ac:dyDescent="0.25">
      <c r="A1050" s="315"/>
      <c r="B1050" s="315"/>
      <c r="C1050" s="326"/>
      <c r="D1050" s="315"/>
      <c r="E1050" s="321"/>
      <c r="F1050" s="322"/>
      <c r="G1050" s="315"/>
    </row>
    <row r="1051" spans="1:7" s="32" customFormat="1" x14ac:dyDescent="0.25">
      <c r="A1051" s="315"/>
      <c r="B1051" s="315"/>
      <c r="C1051" s="326"/>
      <c r="D1051" s="315"/>
      <c r="E1051" s="321"/>
      <c r="F1051" s="322"/>
      <c r="G1051" s="315"/>
    </row>
    <row r="1052" spans="1:7" s="32" customFormat="1" x14ac:dyDescent="0.25">
      <c r="A1052" s="315"/>
      <c r="B1052" s="315"/>
      <c r="C1052" s="326"/>
      <c r="D1052" s="315"/>
      <c r="E1052" s="321"/>
      <c r="F1052" s="322"/>
      <c r="G1052" s="315"/>
    </row>
    <row r="1053" spans="1:7" s="32" customFormat="1" x14ac:dyDescent="0.25">
      <c r="A1053" s="315"/>
      <c r="B1053" s="315"/>
      <c r="C1053" s="326"/>
      <c r="D1053" s="315"/>
      <c r="E1053" s="321"/>
      <c r="F1053" s="322"/>
      <c r="G1053" s="315"/>
    </row>
    <row r="1054" spans="1:7" s="32" customFormat="1" x14ac:dyDescent="0.25">
      <c r="A1054" s="315"/>
      <c r="B1054" s="315"/>
      <c r="C1054" s="326"/>
      <c r="D1054" s="315"/>
      <c r="E1054" s="321"/>
      <c r="F1054" s="322"/>
      <c r="G1054" s="315"/>
    </row>
    <row r="1055" spans="1:7" s="32" customFormat="1" x14ac:dyDescent="0.25">
      <c r="A1055" s="315"/>
      <c r="B1055" s="315"/>
      <c r="C1055" s="326"/>
      <c r="D1055" s="315"/>
      <c r="E1055" s="321"/>
      <c r="F1055" s="322"/>
      <c r="G1055" s="315"/>
    </row>
    <row r="1056" spans="1:7" s="32" customFormat="1" x14ac:dyDescent="0.25">
      <c r="A1056" s="315"/>
      <c r="B1056" s="315"/>
      <c r="C1056" s="326"/>
      <c r="D1056" s="315"/>
      <c r="E1056" s="321"/>
      <c r="F1056" s="322"/>
      <c r="G1056" s="315"/>
    </row>
    <row r="1057" spans="1:7" s="32" customFormat="1" x14ac:dyDescent="0.25">
      <c r="A1057" s="315"/>
      <c r="B1057" s="315"/>
      <c r="C1057" s="326"/>
      <c r="D1057" s="315"/>
      <c r="E1057" s="321"/>
      <c r="F1057" s="322"/>
      <c r="G1057" s="315"/>
    </row>
    <row r="1058" spans="1:7" s="32" customFormat="1" x14ac:dyDescent="0.25">
      <c r="A1058" s="315"/>
      <c r="B1058" s="315"/>
      <c r="C1058" s="326"/>
      <c r="D1058" s="315"/>
      <c r="E1058" s="321"/>
      <c r="F1058" s="322"/>
      <c r="G1058" s="315"/>
    </row>
    <row r="1059" spans="1:7" s="32" customFormat="1" x14ac:dyDescent="0.25">
      <c r="A1059" s="315"/>
      <c r="B1059" s="315"/>
      <c r="C1059" s="326"/>
      <c r="D1059" s="315"/>
      <c r="E1059" s="321"/>
      <c r="F1059" s="322"/>
      <c r="G1059" s="315"/>
    </row>
    <row r="1060" spans="1:7" s="32" customFormat="1" x14ac:dyDescent="0.25">
      <c r="A1060" s="315"/>
      <c r="B1060" s="315"/>
      <c r="C1060" s="326"/>
      <c r="D1060" s="315"/>
      <c r="E1060" s="321"/>
      <c r="F1060" s="322"/>
      <c r="G1060" s="315"/>
    </row>
    <row r="1061" spans="1:7" s="32" customFormat="1" x14ac:dyDescent="0.25">
      <c r="A1061" s="315"/>
      <c r="B1061" s="315"/>
      <c r="C1061" s="326"/>
      <c r="D1061" s="315"/>
      <c r="E1061" s="321"/>
      <c r="F1061" s="322"/>
      <c r="G1061" s="315"/>
    </row>
    <row r="1062" spans="1:7" s="32" customFormat="1" x14ac:dyDescent="0.25">
      <c r="A1062" s="315"/>
      <c r="B1062" s="315"/>
      <c r="C1062" s="326"/>
      <c r="D1062" s="315"/>
      <c r="E1062" s="321"/>
      <c r="F1062" s="322"/>
      <c r="G1062" s="315"/>
    </row>
    <row r="1063" spans="1:7" s="32" customFormat="1" x14ac:dyDescent="0.25">
      <c r="A1063" s="315"/>
      <c r="B1063" s="315"/>
      <c r="C1063" s="326"/>
      <c r="D1063" s="315"/>
      <c r="E1063" s="321"/>
      <c r="F1063" s="322"/>
      <c r="G1063" s="315"/>
    </row>
    <row r="1064" spans="1:7" s="32" customFormat="1" x14ac:dyDescent="0.25">
      <c r="A1064" s="315"/>
      <c r="B1064" s="315"/>
      <c r="C1064" s="326"/>
      <c r="D1064" s="315"/>
      <c r="E1064" s="321"/>
      <c r="F1064" s="322"/>
      <c r="G1064" s="315"/>
    </row>
    <row r="1065" spans="1:7" s="32" customFormat="1" x14ac:dyDescent="0.25">
      <c r="A1065" s="315"/>
      <c r="B1065" s="315"/>
      <c r="C1065" s="326"/>
      <c r="D1065" s="315"/>
      <c r="E1065" s="321"/>
      <c r="F1065" s="322"/>
      <c r="G1065" s="315"/>
    </row>
    <row r="1066" spans="1:7" s="32" customFormat="1" x14ac:dyDescent="0.25">
      <c r="A1066" s="315"/>
      <c r="B1066" s="315"/>
      <c r="C1066" s="326"/>
      <c r="D1066" s="315"/>
      <c r="E1066" s="321"/>
      <c r="F1066" s="322"/>
      <c r="G1066" s="315"/>
    </row>
    <row r="1067" spans="1:7" s="32" customFormat="1" x14ac:dyDescent="0.25">
      <c r="A1067" s="315"/>
      <c r="B1067" s="315"/>
      <c r="C1067" s="326"/>
      <c r="D1067" s="315"/>
      <c r="E1067" s="321"/>
      <c r="F1067" s="322"/>
      <c r="G1067" s="315"/>
    </row>
    <row r="1068" spans="1:7" s="32" customFormat="1" x14ac:dyDescent="0.25">
      <c r="A1068" s="315"/>
      <c r="B1068" s="315"/>
      <c r="C1068" s="326"/>
      <c r="D1068" s="315"/>
      <c r="E1068" s="321"/>
      <c r="F1068" s="322"/>
      <c r="G1068" s="315"/>
    </row>
    <row r="1069" spans="1:7" s="32" customFormat="1" x14ac:dyDescent="0.25">
      <c r="A1069" s="315"/>
      <c r="B1069" s="315"/>
      <c r="C1069" s="326"/>
      <c r="D1069" s="315"/>
      <c r="E1069" s="321"/>
      <c r="F1069" s="322"/>
      <c r="G1069" s="315"/>
    </row>
    <row r="1070" spans="1:7" s="32" customFormat="1" x14ac:dyDescent="0.25">
      <c r="A1070" s="315"/>
      <c r="B1070" s="315"/>
      <c r="C1070" s="326"/>
      <c r="D1070" s="315"/>
      <c r="E1070" s="321"/>
      <c r="F1070" s="322"/>
      <c r="G1070" s="315"/>
    </row>
    <row r="1071" spans="1:7" s="32" customFormat="1" x14ac:dyDescent="0.25">
      <c r="A1071" s="315"/>
      <c r="B1071" s="315"/>
      <c r="C1071" s="326"/>
      <c r="D1071" s="315"/>
      <c r="E1071" s="321"/>
      <c r="F1071" s="322"/>
      <c r="G1071" s="315"/>
    </row>
    <row r="1072" spans="1:7" s="32" customFormat="1" x14ac:dyDescent="0.25">
      <c r="A1072" s="315"/>
      <c r="B1072" s="315"/>
      <c r="C1072" s="326"/>
      <c r="D1072" s="315"/>
      <c r="E1072" s="321"/>
      <c r="F1072" s="322"/>
      <c r="G1072" s="315"/>
    </row>
    <row r="1073" spans="1:7" s="32" customFormat="1" x14ac:dyDescent="0.25">
      <c r="A1073" s="315"/>
      <c r="B1073" s="315"/>
      <c r="C1073" s="326"/>
      <c r="D1073" s="315"/>
      <c r="E1073" s="321"/>
      <c r="F1073" s="322"/>
      <c r="G1073" s="315"/>
    </row>
    <row r="1074" spans="1:7" s="32" customFormat="1" x14ac:dyDescent="0.25">
      <c r="A1074" s="315"/>
      <c r="B1074" s="315"/>
      <c r="C1074" s="326"/>
      <c r="D1074" s="315"/>
      <c r="E1074" s="321"/>
      <c r="F1074" s="322"/>
      <c r="G1074" s="315"/>
    </row>
    <row r="1075" spans="1:7" s="32" customFormat="1" x14ac:dyDescent="0.25">
      <c r="A1075" s="315"/>
      <c r="B1075" s="315"/>
      <c r="C1075" s="326"/>
      <c r="D1075" s="315"/>
      <c r="E1075" s="321"/>
      <c r="F1075" s="322"/>
      <c r="G1075" s="315"/>
    </row>
    <row r="1076" spans="1:7" s="32" customFormat="1" x14ac:dyDescent="0.25">
      <c r="A1076" s="315"/>
      <c r="B1076" s="315"/>
      <c r="C1076" s="326"/>
      <c r="D1076" s="315"/>
      <c r="E1076" s="321"/>
      <c r="F1076" s="322"/>
      <c r="G1076" s="315"/>
    </row>
    <row r="1077" spans="1:7" s="32" customFormat="1" x14ac:dyDescent="0.25">
      <c r="A1077" s="315"/>
      <c r="B1077" s="315"/>
      <c r="C1077" s="326"/>
      <c r="D1077" s="315"/>
      <c r="E1077" s="321"/>
      <c r="F1077" s="322"/>
      <c r="G1077" s="315"/>
    </row>
    <row r="1078" spans="1:7" s="32" customFormat="1" x14ac:dyDescent="0.25">
      <c r="A1078" s="315"/>
      <c r="B1078" s="315"/>
      <c r="C1078" s="326"/>
      <c r="D1078" s="315"/>
      <c r="E1078" s="321"/>
      <c r="F1078" s="322"/>
      <c r="G1078" s="315"/>
    </row>
    <row r="1079" spans="1:7" s="32" customFormat="1" x14ac:dyDescent="0.25">
      <c r="A1079" s="315"/>
      <c r="B1079" s="315"/>
      <c r="C1079" s="326"/>
      <c r="D1079" s="315"/>
      <c r="E1079" s="321"/>
      <c r="F1079" s="322"/>
      <c r="G1079" s="315"/>
    </row>
    <row r="1080" spans="1:7" s="32" customFormat="1" x14ac:dyDescent="0.25">
      <c r="A1080" s="315"/>
      <c r="B1080" s="315"/>
      <c r="C1080" s="326"/>
      <c r="D1080" s="315"/>
      <c r="E1080" s="321"/>
      <c r="F1080" s="322"/>
      <c r="G1080" s="315"/>
    </row>
    <row r="1081" spans="1:7" s="32" customFormat="1" x14ac:dyDescent="0.25">
      <c r="A1081" s="315"/>
      <c r="B1081" s="315"/>
      <c r="C1081" s="326"/>
      <c r="D1081" s="315"/>
      <c r="E1081" s="321"/>
      <c r="F1081" s="322"/>
      <c r="G1081" s="315"/>
    </row>
    <row r="1082" spans="1:7" s="32" customFormat="1" x14ac:dyDescent="0.25">
      <c r="A1082" s="315"/>
      <c r="B1082" s="315"/>
      <c r="C1082" s="326"/>
      <c r="D1082" s="315"/>
      <c r="E1082" s="321"/>
      <c r="F1082" s="322"/>
      <c r="G1082" s="315"/>
    </row>
    <row r="1083" spans="1:7" s="32" customFormat="1" x14ac:dyDescent="0.25">
      <c r="A1083" s="315"/>
      <c r="B1083" s="315"/>
      <c r="C1083" s="326"/>
      <c r="D1083" s="315"/>
      <c r="E1083" s="321"/>
      <c r="F1083" s="322"/>
      <c r="G1083" s="315"/>
    </row>
    <row r="1084" spans="1:7" s="32" customFormat="1" x14ac:dyDescent="0.25">
      <c r="A1084" s="315"/>
      <c r="B1084" s="315"/>
      <c r="C1084" s="326"/>
      <c r="D1084" s="315"/>
      <c r="E1084" s="321"/>
      <c r="F1084" s="322"/>
      <c r="G1084" s="315"/>
    </row>
    <row r="1085" spans="1:7" s="32" customFormat="1" x14ac:dyDescent="0.25">
      <c r="A1085" s="315"/>
      <c r="B1085" s="315"/>
      <c r="C1085" s="326"/>
      <c r="D1085" s="315"/>
      <c r="E1085" s="321"/>
      <c r="F1085" s="322"/>
      <c r="G1085" s="315"/>
    </row>
    <row r="1086" spans="1:7" s="32" customFormat="1" x14ac:dyDescent="0.25">
      <c r="A1086" s="315"/>
      <c r="B1086" s="315"/>
      <c r="C1086" s="326"/>
      <c r="D1086" s="315"/>
      <c r="E1086" s="321"/>
      <c r="F1086" s="322"/>
      <c r="G1086" s="315"/>
    </row>
    <row r="1087" spans="1:7" s="32" customFormat="1" x14ac:dyDescent="0.25">
      <c r="A1087" s="315"/>
      <c r="B1087" s="315"/>
      <c r="C1087" s="326"/>
      <c r="D1087" s="315"/>
      <c r="E1087" s="321"/>
      <c r="F1087" s="322"/>
      <c r="G1087" s="315"/>
    </row>
    <row r="1088" spans="1:7" s="32" customFormat="1" x14ac:dyDescent="0.25">
      <c r="A1088" s="315"/>
      <c r="B1088" s="315"/>
      <c r="C1088" s="326"/>
      <c r="D1088" s="315"/>
      <c r="E1088" s="321"/>
      <c r="F1088" s="322"/>
      <c r="G1088" s="315"/>
    </row>
    <row r="1089" spans="1:7" s="32" customFormat="1" x14ac:dyDescent="0.25">
      <c r="A1089" s="315"/>
      <c r="B1089" s="315"/>
      <c r="C1089" s="326"/>
      <c r="D1089" s="315"/>
      <c r="E1089" s="321"/>
      <c r="F1089" s="322"/>
      <c r="G1089" s="315"/>
    </row>
    <row r="1090" spans="1:7" s="32" customFormat="1" x14ac:dyDescent="0.25">
      <c r="A1090" s="315"/>
      <c r="B1090" s="315"/>
      <c r="C1090" s="326"/>
      <c r="D1090" s="315"/>
      <c r="E1090" s="321"/>
      <c r="F1090" s="322"/>
      <c r="G1090" s="315"/>
    </row>
    <row r="1091" spans="1:7" s="32" customFormat="1" x14ac:dyDescent="0.25">
      <c r="A1091" s="315"/>
      <c r="B1091" s="315"/>
      <c r="C1091" s="326"/>
      <c r="D1091" s="315"/>
      <c r="E1091" s="321"/>
      <c r="F1091" s="322"/>
      <c r="G1091" s="315"/>
    </row>
    <row r="1092" spans="1:7" s="32" customFormat="1" x14ac:dyDescent="0.25">
      <c r="A1092" s="315"/>
      <c r="B1092" s="315"/>
      <c r="C1092" s="326"/>
      <c r="D1092" s="315"/>
      <c r="E1092" s="321"/>
      <c r="F1092" s="322"/>
      <c r="G1092" s="315"/>
    </row>
    <row r="1093" spans="1:7" s="32" customFormat="1" x14ac:dyDescent="0.25">
      <c r="A1093" s="315"/>
      <c r="B1093" s="315"/>
      <c r="C1093" s="326"/>
      <c r="D1093" s="315"/>
      <c r="E1093" s="321"/>
      <c r="F1093" s="322"/>
      <c r="G1093" s="315"/>
    </row>
    <row r="1094" spans="1:7" s="32" customFormat="1" x14ac:dyDescent="0.25">
      <c r="A1094" s="315"/>
      <c r="B1094" s="315"/>
      <c r="C1094" s="326"/>
      <c r="D1094" s="315"/>
      <c r="E1094" s="321"/>
      <c r="F1094" s="322"/>
      <c r="G1094" s="315"/>
    </row>
    <row r="1095" spans="1:7" s="32" customFormat="1" x14ac:dyDescent="0.25">
      <c r="A1095" s="315"/>
      <c r="B1095" s="315"/>
      <c r="C1095" s="326"/>
      <c r="D1095" s="315"/>
      <c r="E1095" s="321"/>
      <c r="F1095" s="322"/>
      <c r="G1095" s="315"/>
    </row>
    <row r="1096" spans="1:7" s="32" customFormat="1" x14ac:dyDescent="0.25">
      <c r="A1096" s="315"/>
      <c r="B1096" s="315"/>
      <c r="C1096" s="326"/>
      <c r="D1096" s="315"/>
      <c r="E1096" s="321"/>
      <c r="F1096" s="322"/>
      <c r="G1096" s="315"/>
    </row>
    <row r="1097" spans="1:7" s="32" customFormat="1" x14ac:dyDescent="0.25">
      <c r="A1097" s="315"/>
      <c r="B1097" s="315"/>
      <c r="C1097" s="326"/>
      <c r="D1097" s="315"/>
      <c r="E1097" s="321"/>
      <c r="F1097" s="322"/>
      <c r="G1097" s="315"/>
    </row>
    <row r="1098" spans="1:7" s="32" customFormat="1" x14ac:dyDescent="0.25">
      <c r="A1098" s="315"/>
      <c r="B1098" s="315"/>
      <c r="C1098" s="326"/>
      <c r="D1098" s="315"/>
      <c r="E1098" s="321"/>
      <c r="F1098" s="322"/>
      <c r="G1098" s="315"/>
    </row>
    <row r="1099" spans="1:7" s="32" customFormat="1" x14ac:dyDescent="0.25">
      <c r="A1099" s="315"/>
      <c r="B1099" s="315"/>
      <c r="C1099" s="326"/>
      <c r="D1099" s="315"/>
      <c r="E1099" s="321"/>
      <c r="F1099" s="322"/>
      <c r="G1099" s="315"/>
    </row>
    <row r="1100" spans="1:7" s="32" customFormat="1" x14ac:dyDescent="0.25">
      <c r="A1100" s="315"/>
      <c r="B1100" s="315"/>
      <c r="C1100" s="326"/>
      <c r="D1100" s="315"/>
      <c r="E1100" s="321"/>
      <c r="F1100" s="322"/>
      <c r="G1100" s="315"/>
    </row>
    <row r="1101" spans="1:7" s="32" customFormat="1" x14ac:dyDescent="0.25">
      <c r="A1101" s="315"/>
      <c r="B1101" s="315"/>
      <c r="C1101" s="326"/>
      <c r="D1101" s="315"/>
      <c r="E1101" s="321"/>
      <c r="F1101" s="322"/>
      <c r="G1101" s="315"/>
    </row>
    <row r="1102" spans="1:7" s="32" customFormat="1" x14ac:dyDescent="0.25">
      <c r="A1102" s="315"/>
      <c r="B1102" s="315"/>
      <c r="C1102" s="326"/>
      <c r="D1102" s="315"/>
      <c r="E1102" s="321"/>
      <c r="F1102" s="322"/>
      <c r="G1102" s="315"/>
    </row>
    <row r="1103" spans="1:7" s="32" customFormat="1" x14ac:dyDescent="0.25">
      <c r="A1103" s="315"/>
      <c r="B1103" s="315"/>
      <c r="C1103" s="326"/>
      <c r="D1103" s="315"/>
      <c r="E1103" s="321"/>
      <c r="F1103" s="322"/>
      <c r="G1103" s="315"/>
    </row>
    <row r="1104" spans="1:7" s="32" customFormat="1" x14ac:dyDescent="0.25">
      <c r="A1104" s="315"/>
      <c r="B1104" s="315"/>
      <c r="C1104" s="326"/>
      <c r="D1104" s="315"/>
      <c r="E1104" s="321"/>
      <c r="F1104" s="322"/>
      <c r="G1104" s="315"/>
    </row>
    <row r="1105" spans="1:7" s="32" customFormat="1" x14ac:dyDescent="0.25">
      <c r="A1105" s="315"/>
      <c r="B1105" s="315"/>
      <c r="C1105" s="326"/>
      <c r="D1105" s="315"/>
      <c r="E1105" s="321"/>
      <c r="F1105" s="322"/>
      <c r="G1105" s="315"/>
    </row>
    <row r="1106" spans="1:7" s="32" customFormat="1" x14ac:dyDescent="0.25">
      <c r="A1106" s="315"/>
      <c r="B1106" s="315"/>
      <c r="C1106" s="326"/>
      <c r="D1106" s="315"/>
      <c r="E1106" s="321"/>
      <c r="F1106" s="322"/>
      <c r="G1106" s="315"/>
    </row>
    <row r="1107" spans="1:7" s="32" customFormat="1" x14ac:dyDescent="0.25">
      <c r="A1107" s="315"/>
      <c r="B1107" s="315"/>
      <c r="C1107" s="326"/>
      <c r="D1107" s="315"/>
      <c r="E1107" s="321"/>
      <c r="F1107" s="322"/>
      <c r="G1107" s="315"/>
    </row>
    <row r="1108" spans="1:7" s="32" customFormat="1" x14ac:dyDescent="0.25">
      <c r="A1108" s="315"/>
      <c r="B1108" s="315"/>
      <c r="C1108" s="326"/>
      <c r="D1108" s="315"/>
      <c r="E1108" s="321"/>
      <c r="F1108" s="322"/>
      <c r="G1108" s="315"/>
    </row>
    <row r="1109" spans="1:7" s="32" customFormat="1" x14ac:dyDescent="0.25">
      <c r="A1109" s="315"/>
      <c r="B1109" s="315"/>
      <c r="C1109" s="326"/>
      <c r="D1109" s="315"/>
      <c r="E1109" s="321"/>
      <c r="F1109" s="322"/>
      <c r="G1109" s="315"/>
    </row>
    <row r="1110" spans="1:7" s="32" customFormat="1" x14ac:dyDescent="0.25">
      <c r="A1110" s="315"/>
      <c r="B1110" s="315"/>
      <c r="C1110" s="326"/>
      <c r="D1110" s="315"/>
      <c r="E1110" s="321"/>
      <c r="F1110" s="322"/>
      <c r="G1110" s="315"/>
    </row>
    <row r="1111" spans="1:7" s="32" customFormat="1" x14ac:dyDescent="0.25">
      <c r="A1111" s="315"/>
      <c r="B1111" s="315"/>
      <c r="C1111" s="326"/>
      <c r="D1111" s="315"/>
      <c r="E1111" s="321"/>
      <c r="F1111" s="322"/>
      <c r="G1111" s="315"/>
    </row>
    <row r="1112" spans="1:7" s="32" customFormat="1" x14ac:dyDescent="0.25">
      <c r="A1112" s="315"/>
      <c r="B1112" s="315"/>
      <c r="C1112" s="326"/>
      <c r="D1112" s="315"/>
      <c r="E1112" s="321"/>
      <c r="F1112" s="322"/>
      <c r="G1112" s="315"/>
    </row>
    <row r="1113" spans="1:7" s="32" customFormat="1" x14ac:dyDescent="0.25">
      <c r="A1113" s="315"/>
      <c r="B1113" s="315"/>
      <c r="C1113" s="326"/>
      <c r="D1113" s="315"/>
      <c r="E1113" s="321"/>
      <c r="F1113" s="322"/>
      <c r="G1113" s="315"/>
    </row>
    <row r="1114" spans="1:7" s="32" customFormat="1" x14ac:dyDescent="0.25">
      <c r="A1114" s="315"/>
      <c r="B1114" s="315"/>
      <c r="C1114" s="326"/>
      <c r="D1114" s="315"/>
      <c r="E1114" s="321"/>
      <c r="F1114" s="322"/>
      <c r="G1114" s="315"/>
    </row>
    <row r="1115" spans="1:7" s="32" customFormat="1" x14ac:dyDescent="0.25">
      <c r="A1115" s="315"/>
      <c r="B1115" s="315"/>
      <c r="C1115" s="326"/>
      <c r="D1115" s="315"/>
      <c r="E1115" s="321"/>
      <c r="F1115" s="322"/>
      <c r="G1115" s="315"/>
    </row>
    <row r="1116" spans="1:7" s="32" customFormat="1" x14ac:dyDescent="0.25">
      <c r="A1116" s="315"/>
      <c r="B1116" s="315"/>
      <c r="C1116" s="326"/>
      <c r="D1116" s="315"/>
      <c r="E1116" s="321"/>
      <c r="F1116" s="322"/>
      <c r="G1116" s="315"/>
    </row>
    <row r="1117" spans="1:7" s="32" customFormat="1" x14ac:dyDescent="0.25">
      <c r="A1117" s="315"/>
      <c r="B1117" s="315"/>
      <c r="C1117" s="326"/>
      <c r="D1117" s="315"/>
      <c r="E1117" s="321"/>
      <c r="F1117" s="322"/>
      <c r="G1117" s="315"/>
    </row>
    <row r="1118" spans="1:7" s="32" customFormat="1" x14ac:dyDescent="0.25">
      <c r="A1118" s="315"/>
      <c r="B1118" s="315"/>
      <c r="C1118" s="326"/>
      <c r="D1118" s="315"/>
      <c r="E1118" s="321"/>
      <c r="F1118" s="322"/>
      <c r="G1118" s="315"/>
    </row>
    <row r="1119" spans="1:7" s="32" customFormat="1" x14ac:dyDescent="0.25">
      <c r="A1119" s="315"/>
      <c r="B1119" s="315"/>
      <c r="C1119" s="326"/>
      <c r="D1119" s="315"/>
      <c r="E1119" s="321"/>
      <c r="F1119" s="322"/>
      <c r="G1119" s="315"/>
    </row>
    <row r="1120" spans="1:7" s="32" customFormat="1" x14ac:dyDescent="0.25">
      <c r="A1120" s="315"/>
      <c r="B1120" s="315"/>
      <c r="C1120" s="326"/>
      <c r="D1120" s="315"/>
      <c r="E1120" s="321"/>
      <c r="F1120" s="322"/>
      <c r="G1120" s="315"/>
    </row>
    <row r="1121" spans="1:7" s="32" customFormat="1" x14ac:dyDescent="0.25">
      <c r="A1121" s="315"/>
      <c r="B1121" s="315"/>
      <c r="C1121" s="326"/>
      <c r="D1121" s="315"/>
      <c r="E1121" s="321"/>
      <c r="F1121" s="322"/>
      <c r="G1121" s="315"/>
    </row>
    <row r="1122" spans="1:7" s="32" customFormat="1" x14ac:dyDescent="0.25">
      <c r="A1122" s="315"/>
      <c r="B1122" s="315"/>
      <c r="C1122" s="326"/>
      <c r="D1122" s="315"/>
      <c r="E1122" s="321"/>
      <c r="F1122" s="322"/>
      <c r="G1122" s="315"/>
    </row>
    <row r="1123" spans="1:7" s="32" customFormat="1" x14ac:dyDescent="0.25">
      <c r="A1123" s="315"/>
      <c r="B1123" s="315"/>
      <c r="C1123" s="326"/>
      <c r="D1123" s="315"/>
      <c r="E1123" s="321"/>
      <c r="F1123" s="322"/>
      <c r="G1123" s="315"/>
    </row>
    <row r="1124" spans="1:7" s="32" customFormat="1" x14ac:dyDescent="0.25">
      <c r="A1124" s="315"/>
      <c r="B1124" s="315"/>
      <c r="C1124" s="326"/>
      <c r="D1124" s="315"/>
      <c r="E1124" s="321"/>
      <c r="F1124" s="322"/>
      <c r="G1124" s="315"/>
    </row>
    <row r="1125" spans="1:7" s="32" customFormat="1" x14ac:dyDescent="0.25">
      <c r="A1125" s="315"/>
      <c r="B1125" s="315"/>
      <c r="C1125" s="326"/>
      <c r="D1125" s="315"/>
      <c r="E1125" s="321"/>
      <c r="F1125" s="322"/>
      <c r="G1125" s="315"/>
    </row>
    <row r="1126" spans="1:7" s="32" customFormat="1" x14ac:dyDescent="0.25">
      <c r="A1126" s="315"/>
      <c r="B1126" s="315"/>
      <c r="C1126" s="326"/>
      <c r="D1126" s="315"/>
      <c r="E1126" s="321"/>
      <c r="F1126" s="322"/>
      <c r="G1126" s="315"/>
    </row>
    <row r="1127" spans="1:7" s="32" customFormat="1" x14ac:dyDescent="0.25">
      <c r="A1127" s="315"/>
      <c r="B1127" s="315"/>
      <c r="C1127" s="326"/>
      <c r="D1127" s="315"/>
      <c r="E1127" s="321"/>
      <c r="F1127" s="322"/>
      <c r="G1127" s="315"/>
    </row>
    <row r="1128" spans="1:7" s="32" customFormat="1" x14ac:dyDescent="0.25">
      <c r="A1128" s="315"/>
      <c r="B1128" s="315"/>
      <c r="C1128" s="326"/>
      <c r="D1128" s="315"/>
      <c r="E1128" s="321"/>
      <c r="F1128" s="322"/>
      <c r="G1128" s="315"/>
    </row>
    <row r="1129" spans="1:7" s="32" customFormat="1" x14ac:dyDescent="0.25">
      <c r="A1129" s="315"/>
      <c r="B1129" s="315"/>
      <c r="C1129" s="326"/>
      <c r="D1129" s="315"/>
      <c r="E1129" s="321"/>
      <c r="F1129" s="322"/>
      <c r="G1129" s="315"/>
    </row>
    <row r="1130" spans="1:7" s="32" customFormat="1" x14ac:dyDescent="0.25">
      <c r="A1130" s="315"/>
      <c r="B1130" s="315"/>
      <c r="C1130" s="326"/>
      <c r="D1130" s="315"/>
      <c r="E1130" s="321"/>
      <c r="F1130" s="322"/>
      <c r="G1130" s="315"/>
    </row>
    <row r="1131" spans="1:7" s="32" customFormat="1" x14ac:dyDescent="0.25">
      <c r="A1131" s="315"/>
      <c r="B1131" s="315"/>
      <c r="C1131" s="326"/>
      <c r="D1131" s="315"/>
      <c r="E1131" s="321"/>
      <c r="F1131" s="322"/>
      <c r="G1131" s="315"/>
    </row>
    <row r="1132" spans="1:7" s="32" customFormat="1" x14ac:dyDescent="0.25">
      <c r="A1132" s="315"/>
      <c r="B1132" s="315"/>
      <c r="C1132" s="326"/>
      <c r="D1132" s="315"/>
      <c r="E1132" s="321"/>
      <c r="F1132" s="322"/>
      <c r="G1132" s="315"/>
    </row>
    <row r="1133" spans="1:7" s="32" customFormat="1" x14ac:dyDescent="0.25">
      <c r="A1133" s="315"/>
      <c r="B1133" s="315"/>
      <c r="C1133" s="326"/>
      <c r="D1133" s="315"/>
      <c r="E1133" s="321"/>
      <c r="F1133" s="322"/>
      <c r="G1133" s="315"/>
    </row>
    <row r="1134" spans="1:7" s="32" customFormat="1" x14ac:dyDescent="0.25">
      <c r="A1134" s="315"/>
      <c r="B1134" s="315"/>
      <c r="C1134" s="326"/>
      <c r="D1134" s="315"/>
      <c r="E1134" s="321"/>
      <c r="F1134" s="322"/>
      <c r="G1134" s="315"/>
    </row>
    <row r="1135" spans="1:7" s="32" customFormat="1" x14ac:dyDescent="0.25">
      <c r="A1135" s="315"/>
      <c r="B1135" s="315"/>
      <c r="C1135" s="326"/>
      <c r="D1135" s="315"/>
      <c r="E1135" s="321"/>
      <c r="F1135" s="322"/>
      <c r="G1135" s="315"/>
    </row>
    <row r="1136" spans="1:7" s="32" customFormat="1" x14ac:dyDescent="0.25">
      <c r="A1136" s="315"/>
      <c r="B1136" s="315"/>
      <c r="C1136" s="326"/>
      <c r="D1136" s="315"/>
      <c r="E1136" s="321"/>
      <c r="F1136" s="322"/>
      <c r="G1136" s="315"/>
    </row>
    <row r="1137" spans="1:7" s="32" customFormat="1" x14ac:dyDescent="0.25">
      <c r="A1137" s="315"/>
      <c r="B1137" s="315"/>
      <c r="C1137" s="326"/>
      <c r="D1137" s="315"/>
      <c r="E1137" s="321"/>
      <c r="F1137" s="322"/>
      <c r="G1137" s="315"/>
    </row>
    <row r="1138" spans="1:7" s="32" customFormat="1" x14ac:dyDescent="0.25">
      <c r="A1138" s="315"/>
      <c r="B1138" s="315"/>
      <c r="C1138" s="326"/>
      <c r="D1138" s="315"/>
      <c r="E1138" s="321"/>
      <c r="F1138" s="322"/>
      <c r="G1138" s="315"/>
    </row>
    <row r="1139" spans="1:7" s="32" customFormat="1" x14ac:dyDescent="0.25">
      <c r="A1139" s="315"/>
      <c r="B1139" s="315"/>
      <c r="C1139" s="326"/>
      <c r="D1139" s="315"/>
      <c r="E1139" s="321"/>
      <c r="F1139" s="322"/>
      <c r="G1139" s="315"/>
    </row>
    <row r="1140" spans="1:7" s="32" customFormat="1" x14ac:dyDescent="0.25">
      <c r="A1140" s="315"/>
      <c r="B1140" s="315"/>
      <c r="C1140" s="326"/>
      <c r="D1140" s="315"/>
      <c r="E1140" s="321"/>
      <c r="F1140" s="322"/>
      <c r="G1140" s="315"/>
    </row>
    <row r="1141" spans="1:7" s="32" customFormat="1" x14ac:dyDescent="0.25">
      <c r="A1141" s="315"/>
      <c r="B1141" s="315"/>
      <c r="C1141" s="326"/>
      <c r="D1141" s="315"/>
      <c r="E1141" s="321"/>
      <c r="F1141" s="322"/>
      <c r="G1141" s="315"/>
    </row>
    <row r="1142" spans="1:7" s="32" customFormat="1" x14ac:dyDescent="0.25">
      <c r="A1142" s="315"/>
      <c r="B1142" s="315"/>
      <c r="C1142" s="326"/>
      <c r="D1142" s="315"/>
      <c r="E1142" s="321"/>
      <c r="F1142" s="322"/>
      <c r="G1142" s="315"/>
    </row>
    <row r="1143" spans="1:7" s="32" customFormat="1" x14ac:dyDescent="0.25">
      <c r="A1143" s="315"/>
      <c r="B1143" s="315"/>
      <c r="C1143" s="326"/>
      <c r="D1143" s="315"/>
      <c r="E1143" s="321"/>
      <c r="F1143" s="322"/>
      <c r="G1143" s="315"/>
    </row>
    <row r="1144" spans="1:7" s="32" customFormat="1" x14ac:dyDescent="0.25">
      <c r="A1144" s="315"/>
      <c r="B1144" s="315"/>
      <c r="C1144" s="326"/>
      <c r="D1144" s="315"/>
      <c r="E1144" s="321"/>
      <c r="F1144" s="322"/>
      <c r="G1144" s="315"/>
    </row>
    <row r="1145" spans="1:7" s="32" customFormat="1" x14ac:dyDescent="0.25">
      <c r="A1145" s="315"/>
      <c r="B1145" s="315"/>
      <c r="C1145" s="326"/>
      <c r="D1145" s="315"/>
      <c r="E1145" s="321"/>
      <c r="F1145" s="322"/>
      <c r="G1145" s="315"/>
    </row>
    <row r="1146" spans="1:7" s="32" customFormat="1" x14ac:dyDescent="0.25">
      <c r="A1146" s="315"/>
      <c r="B1146" s="315"/>
      <c r="C1146" s="326"/>
      <c r="D1146" s="315"/>
      <c r="E1146" s="321"/>
      <c r="F1146" s="322"/>
      <c r="G1146" s="315"/>
    </row>
    <row r="1147" spans="1:7" s="32" customFormat="1" x14ac:dyDescent="0.25">
      <c r="A1147" s="315"/>
      <c r="B1147" s="315"/>
      <c r="C1147" s="326"/>
      <c r="D1147" s="315"/>
      <c r="E1147" s="321"/>
      <c r="F1147" s="322"/>
      <c r="G1147" s="315"/>
    </row>
    <row r="1148" spans="1:7" s="32" customFormat="1" x14ac:dyDescent="0.25">
      <c r="A1148" s="315"/>
      <c r="B1148" s="315"/>
      <c r="C1148" s="326"/>
      <c r="D1148" s="315"/>
      <c r="E1148" s="321"/>
      <c r="F1148" s="322"/>
      <c r="G1148" s="315"/>
    </row>
    <row r="1149" spans="1:7" s="32" customFormat="1" x14ac:dyDescent="0.25">
      <c r="A1149" s="315"/>
      <c r="B1149" s="315"/>
      <c r="C1149" s="326"/>
      <c r="D1149" s="315"/>
      <c r="E1149" s="321"/>
      <c r="F1149" s="322"/>
      <c r="G1149" s="315"/>
    </row>
    <row r="1150" spans="1:7" s="32" customFormat="1" x14ac:dyDescent="0.25">
      <c r="A1150" s="315"/>
      <c r="B1150" s="315"/>
      <c r="C1150" s="326"/>
      <c r="D1150" s="315"/>
      <c r="E1150" s="321"/>
      <c r="F1150" s="322"/>
      <c r="G1150" s="315"/>
    </row>
    <row r="1151" spans="1:7" s="32" customFormat="1" x14ac:dyDescent="0.25">
      <c r="A1151" s="315"/>
      <c r="B1151" s="315"/>
      <c r="C1151" s="326"/>
      <c r="D1151" s="315"/>
      <c r="E1151" s="321"/>
      <c r="F1151" s="322"/>
      <c r="G1151" s="315"/>
    </row>
    <row r="1152" spans="1:7" s="32" customFormat="1" x14ac:dyDescent="0.25">
      <c r="A1152" s="315"/>
      <c r="B1152" s="315"/>
      <c r="C1152" s="326"/>
      <c r="D1152" s="315"/>
      <c r="E1152" s="321"/>
      <c r="F1152" s="322"/>
      <c r="G1152" s="315"/>
    </row>
    <row r="1153" spans="1:7" s="32" customFormat="1" x14ac:dyDescent="0.25">
      <c r="A1153" s="315"/>
      <c r="B1153" s="315"/>
      <c r="C1153" s="326"/>
      <c r="D1153" s="315"/>
      <c r="E1153" s="321"/>
      <c r="F1153" s="322"/>
      <c r="G1153" s="315"/>
    </row>
    <row r="1154" spans="1:7" s="32" customFormat="1" x14ac:dyDescent="0.25">
      <c r="A1154" s="315"/>
      <c r="B1154" s="315"/>
      <c r="C1154" s="326"/>
      <c r="D1154" s="315"/>
      <c r="E1154" s="321"/>
      <c r="F1154" s="322"/>
      <c r="G1154" s="315"/>
    </row>
    <row r="1155" spans="1:7" s="32" customFormat="1" x14ac:dyDescent="0.25">
      <c r="A1155" s="315"/>
      <c r="B1155" s="315"/>
      <c r="C1155" s="326"/>
      <c r="D1155" s="315"/>
      <c r="E1155" s="321"/>
      <c r="F1155" s="322"/>
      <c r="G1155" s="315"/>
    </row>
    <row r="1156" spans="1:7" s="32" customFormat="1" x14ac:dyDescent="0.25">
      <c r="A1156" s="315"/>
      <c r="B1156" s="315"/>
      <c r="C1156" s="326"/>
      <c r="D1156" s="315"/>
      <c r="E1156" s="321"/>
      <c r="F1156" s="322"/>
      <c r="G1156" s="315"/>
    </row>
    <row r="1157" spans="1:7" s="32" customFormat="1" x14ac:dyDescent="0.25">
      <c r="A1157" s="315"/>
      <c r="B1157" s="315"/>
      <c r="C1157" s="326"/>
      <c r="D1157" s="315"/>
      <c r="E1157" s="321"/>
      <c r="F1157" s="322"/>
      <c r="G1157" s="315"/>
    </row>
    <row r="1158" spans="1:7" s="32" customFormat="1" x14ac:dyDescent="0.25">
      <c r="A1158" s="315"/>
      <c r="B1158" s="315"/>
      <c r="C1158" s="326"/>
      <c r="D1158" s="315"/>
      <c r="E1158" s="321"/>
      <c r="F1158" s="322"/>
      <c r="G1158" s="315"/>
    </row>
    <row r="1159" spans="1:7" s="32" customFormat="1" x14ac:dyDescent="0.25">
      <c r="A1159" s="315"/>
      <c r="B1159" s="315"/>
      <c r="C1159" s="326"/>
      <c r="D1159" s="315"/>
      <c r="E1159" s="321"/>
      <c r="F1159" s="322"/>
      <c r="G1159" s="315"/>
    </row>
    <row r="1160" spans="1:7" s="32" customFormat="1" x14ac:dyDescent="0.25">
      <c r="A1160" s="315"/>
      <c r="B1160" s="315"/>
      <c r="C1160" s="326"/>
      <c r="D1160" s="315"/>
      <c r="E1160" s="321"/>
      <c r="F1160" s="322"/>
      <c r="G1160" s="315"/>
    </row>
    <row r="1161" spans="1:7" s="32" customFormat="1" x14ac:dyDescent="0.25">
      <c r="A1161" s="315"/>
      <c r="B1161" s="315"/>
      <c r="C1161" s="326"/>
      <c r="D1161" s="315"/>
      <c r="E1161" s="321"/>
      <c r="F1161" s="322"/>
      <c r="G1161" s="315"/>
    </row>
    <row r="1162" spans="1:7" s="32" customFormat="1" x14ac:dyDescent="0.25">
      <c r="A1162" s="315"/>
      <c r="B1162" s="315"/>
      <c r="C1162" s="326"/>
      <c r="D1162" s="315"/>
      <c r="E1162" s="321"/>
      <c r="F1162" s="322"/>
      <c r="G1162" s="315"/>
    </row>
    <row r="1163" spans="1:7" s="32" customFormat="1" x14ac:dyDescent="0.25">
      <c r="A1163" s="315"/>
      <c r="B1163" s="315"/>
      <c r="C1163" s="326"/>
      <c r="D1163" s="315"/>
      <c r="E1163" s="321"/>
      <c r="F1163" s="322"/>
      <c r="G1163" s="315"/>
    </row>
    <row r="1164" spans="1:7" s="32" customFormat="1" x14ac:dyDescent="0.25">
      <c r="A1164" s="315"/>
      <c r="B1164" s="315"/>
      <c r="C1164" s="326"/>
      <c r="D1164" s="315"/>
      <c r="E1164" s="321"/>
      <c r="F1164" s="322"/>
      <c r="G1164" s="315"/>
    </row>
    <row r="1165" spans="1:7" s="32" customFormat="1" x14ac:dyDescent="0.25">
      <c r="A1165" s="315"/>
      <c r="B1165" s="315"/>
      <c r="C1165" s="326"/>
      <c r="D1165" s="315"/>
      <c r="E1165" s="321"/>
      <c r="F1165" s="322"/>
      <c r="G1165" s="315"/>
    </row>
    <row r="1166" spans="1:7" s="32" customFormat="1" x14ac:dyDescent="0.25">
      <c r="A1166" s="315"/>
      <c r="B1166" s="315"/>
      <c r="C1166" s="326"/>
      <c r="D1166" s="315"/>
      <c r="E1166" s="321"/>
      <c r="F1166" s="322"/>
      <c r="G1166" s="315"/>
    </row>
    <row r="1167" spans="1:7" s="32" customFormat="1" x14ac:dyDescent="0.25">
      <c r="A1167" s="315"/>
      <c r="B1167" s="315"/>
      <c r="C1167" s="326"/>
      <c r="D1167" s="315"/>
      <c r="E1167" s="321"/>
      <c r="F1167" s="322"/>
      <c r="G1167" s="315"/>
    </row>
    <row r="1168" spans="1:7" s="32" customFormat="1" x14ac:dyDescent="0.25">
      <c r="A1168" s="315"/>
      <c r="B1168" s="315"/>
      <c r="C1168" s="326"/>
      <c r="D1168" s="315"/>
      <c r="E1168" s="321"/>
      <c r="F1168" s="322"/>
      <c r="G1168" s="315"/>
    </row>
    <row r="1169" spans="1:7" s="32" customFormat="1" x14ac:dyDescent="0.25">
      <c r="A1169" s="315"/>
      <c r="B1169" s="315"/>
      <c r="C1169" s="326"/>
      <c r="D1169" s="315"/>
      <c r="E1169" s="321"/>
      <c r="F1169" s="322"/>
      <c r="G1169" s="315"/>
    </row>
    <row r="1170" spans="1:7" s="32" customFormat="1" x14ac:dyDescent="0.25">
      <c r="A1170" s="315"/>
      <c r="B1170" s="315"/>
      <c r="C1170" s="326"/>
      <c r="D1170" s="315"/>
      <c r="E1170" s="321"/>
      <c r="F1170" s="322"/>
      <c r="G1170" s="315"/>
    </row>
    <row r="1171" spans="1:7" s="32" customFormat="1" x14ac:dyDescent="0.25">
      <c r="A1171" s="315"/>
      <c r="B1171" s="315"/>
      <c r="C1171" s="326"/>
      <c r="D1171" s="315"/>
      <c r="E1171" s="321"/>
      <c r="F1171" s="322"/>
      <c r="G1171" s="315"/>
    </row>
    <row r="1172" spans="1:7" s="32" customFormat="1" x14ac:dyDescent="0.25">
      <c r="A1172" s="315"/>
      <c r="B1172" s="315"/>
      <c r="C1172" s="326"/>
      <c r="D1172" s="315"/>
      <c r="E1172" s="321"/>
      <c r="F1172" s="322"/>
      <c r="G1172" s="315"/>
    </row>
    <row r="1173" spans="1:7" s="32" customFormat="1" x14ac:dyDescent="0.25">
      <c r="A1173" s="315"/>
      <c r="B1173" s="315"/>
      <c r="C1173" s="326"/>
      <c r="D1173" s="315"/>
      <c r="E1173" s="321"/>
      <c r="F1173" s="322"/>
      <c r="G1173" s="315"/>
    </row>
    <row r="1174" spans="1:7" s="32" customFormat="1" x14ac:dyDescent="0.25">
      <c r="A1174" s="315"/>
      <c r="B1174" s="315"/>
      <c r="C1174" s="326"/>
      <c r="D1174" s="315"/>
      <c r="E1174" s="321"/>
      <c r="F1174" s="322"/>
      <c r="G1174" s="315"/>
    </row>
    <row r="1175" spans="1:7" s="32" customFormat="1" x14ac:dyDescent="0.25">
      <c r="A1175" s="315"/>
      <c r="B1175" s="315"/>
      <c r="C1175" s="326"/>
      <c r="D1175" s="315"/>
      <c r="E1175" s="321"/>
      <c r="F1175" s="322"/>
      <c r="G1175" s="315"/>
    </row>
    <row r="1176" spans="1:7" s="32" customFormat="1" x14ac:dyDescent="0.25">
      <c r="A1176" s="315"/>
      <c r="B1176" s="315"/>
      <c r="C1176" s="326"/>
      <c r="D1176" s="315"/>
      <c r="E1176" s="321"/>
      <c r="F1176" s="322"/>
      <c r="G1176" s="315"/>
    </row>
    <row r="1177" spans="1:7" s="32" customFormat="1" x14ac:dyDescent="0.25">
      <c r="A1177" s="315"/>
      <c r="B1177" s="315"/>
      <c r="C1177" s="326"/>
      <c r="D1177" s="315"/>
      <c r="E1177" s="321"/>
      <c r="F1177" s="322"/>
      <c r="G1177" s="315"/>
    </row>
    <row r="1178" spans="1:7" s="32" customFormat="1" x14ac:dyDescent="0.25">
      <c r="A1178" s="315"/>
      <c r="B1178" s="315"/>
      <c r="C1178" s="326"/>
      <c r="D1178" s="315"/>
      <c r="E1178" s="321"/>
      <c r="F1178" s="322"/>
      <c r="G1178" s="315"/>
    </row>
    <row r="1179" spans="1:7" s="32" customFormat="1" x14ac:dyDescent="0.25">
      <c r="A1179" s="315"/>
      <c r="B1179" s="315"/>
      <c r="C1179" s="326"/>
      <c r="D1179" s="315"/>
      <c r="E1179" s="321"/>
      <c r="F1179" s="322"/>
      <c r="G1179" s="315"/>
    </row>
    <row r="1180" spans="1:7" s="32" customFormat="1" x14ac:dyDescent="0.25">
      <c r="A1180" s="315"/>
      <c r="B1180" s="315"/>
      <c r="C1180" s="326"/>
      <c r="D1180" s="315"/>
      <c r="E1180" s="321"/>
      <c r="F1180" s="322"/>
      <c r="G1180" s="315"/>
    </row>
    <row r="1181" spans="1:7" s="32" customFormat="1" x14ac:dyDescent="0.25">
      <c r="A1181" s="315"/>
      <c r="B1181" s="315"/>
      <c r="C1181" s="326"/>
      <c r="D1181" s="315"/>
      <c r="E1181" s="321"/>
      <c r="F1181" s="322"/>
      <c r="G1181" s="315"/>
    </row>
    <row r="1182" spans="1:7" s="32" customFormat="1" x14ac:dyDescent="0.25">
      <c r="A1182" s="315"/>
      <c r="B1182" s="315"/>
      <c r="C1182" s="326"/>
      <c r="D1182" s="315"/>
      <c r="E1182" s="321"/>
      <c r="F1182" s="322"/>
      <c r="G1182" s="315"/>
    </row>
    <row r="1183" spans="1:7" s="32" customFormat="1" x14ac:dyDescent="0.25">
      <c r="A1183" s="315"/>
      <c r="B1183" s="315"/>
      <c r="C1183" s="326"/>
      <c r="D1183" s="315"/>
      <c r="E1183" s="321"/>
      <c r="F1183" s="322"/>
      <c r="G1183" s="315"/>
    </row>
    <row r="1184" spans="1:7" s="32" customFormat="1" x14ac:dyDescent="0.25">
      <c r="A1184" s="315"/>
      <c r="B1184" s="315"/>
      <c r="C1184" s="326"/>
      <c r="D1184" s="315"/>
      <c r="E1184" s="321"/>
      <c r="F1184" s="322"/>
      <c r="G1184" s="315"/>
    </row>
    <row r="1185" spans="1:7" s="32" customFormat="1" x14ac:dyDescent="0.25">
      <c r="A1185" s="315"/>
      <c r="B1185" s="315"/>
      <c r="C1185" s="326"/>
      <c r="D1185" s="315"/>
      <c r="E1185" s="321"/>
      <c r="F1185" s="322"/>
      <c r="G1185" s="315"/>
    </row>
    <row r="1186" spans="1:7" s="32" customFormat="1" x14ac:dyDescent="0.25">
      <c r="A1186" s="315"/>
      <c r="B1186" s="315"/>
      <c r="C1186" s="326"/>
      <c r="D1186" s="315"/>
      <c r="E1186" s="321"/>
      <c r="F1186" s="322"/>
      <c r="G1186" s="315"/>
    </row>
    <row r="1187" spans="1:7" s="32" customFormat="1" x14ac:dyDescent="0.25">
      <c r="A1187" s="315"/>
      <c r="B1187" s="315"/>
      <c r="C1187" s="326"/>
      <c r="D1187" s="315"/>
      <c r="E1187" s="321"/>
      <c r="F1187" s="322"/>
      <c r="G1187" s="315"/>
    </row>
    <row r="1188" spans="1:7" s="32" customFormat="1" x14ac:dyDescent="0.25">
      <c r="A1188" s="315"/>
      <c r="B1188" s="315"/>
      <c r="C1188" s="326"/>
      <c r="D1188" s="315"/>
      <c r="E1188" s="321"/>
      <c r="F1188" s="322"/>
      <c r="G1188" s="315"/>
    </row>
    <row r="1189" spans="1:7" s="32" customFormat="1" x14ac:dyDescent="0.25">
      <c r="A1189" s="315"/>
      <c r="B1189" s="315"/>
      <c r="C1189" s="326"/>
      <c r="D1189" s="315"/>
      <c r="E1189" s="321"/>
      <c r="F1189" s="322"/>
      <c r="G1189" s="315"/>
    </row>
    <row r="1190" spans="1:7" s="32" customFormat="1" x14ac:dyDescent="0.25">
      <c r="A1190" s="315"/>
      <c r="B1190" s="315"/>
      <c r="C1190" s="326"/>
      <c r="D1190" s="315"/>
      <c r="E1190" s="321"/>
      <c r="F1190" s="322"/>
      <c r="G1190" s="315"/>
    </row>
    <row r="1191" spans="1:7" s="32" customFormat="1" x14ac:dyDescent="0.25">
      <c r="A1191" s="315"/>
      <c r="B1191" s="315"/>
      <c r="C1191" s="326"/>
      <c r="D1191" s="315"/>
      <c r="E1191" s="321"/>
      <c r="F1191" s="322"/>
      <c r="G1191" s="315"/>
    </row>
    <row r="1192" spans="1:7" s="32" customFormat="1" x14ac:dyDescent="0.25">
      <c r="A1192" s="315"/>
      <c r="B1192" s="315"/>
      <c r="C1192" s="326"/>
      <c r="D1192" s="315"/>
      <c r="E1192" s="321"/>
      <c r="F1192" s="322"/>
      <c r="G1192" s="315"/>
    </row>
    <row r="1193" spans="1:7" s="32" customFormat="1" x14ac:dyDescent="0.25">
      <c r="A1193" s="315"/>
      <c r="B1193" s="315"/>
      <c r="C1193" s="326"/>
      <c r="D1193" s="315"/>
      <c r="E1193" s="321"/>
      <c r="F1193" s="322"/>
      <c r="G1193" s="315"/>
    </row>
    <row r="1194" spans="1:7" s="32" customFormat="1" x14ac:dyDescent="0.25">
      <c r="A1194" s="315"/>
      <c r="B1194" s="315"/>
      <c r="C1194" s="326"/>
      <c r="D1194" s="315"/>
      <c r="E1194" s="321"/>
      <c r="F1194" s="322"/>
      <c r="G1194" s="315"/>
    </row>
    <row r="1195" spans="1:7" s="32" customFormat="1" x14ac:dyDescent="0.25">
      <c r="A1195" s="315"/>
      <c r="B1195" s="315"/>
      <c r="C1195" s="326"/>
      <c r="D1195" s="315"/>
      <c r="E1195" s="321"/>
      <c r="F1195" s="322"/>
      <c r="G1195" s="315"/>
    </row>
    <row r="1196" spans="1:7" s="32" customFormat="1" x14ac:dyDescent="0.25">
      <c r="A1196" s="315"/>
      <c r="B1196" s="315"/>
      <c r="C1196" s="326"/>
      <c r="D1196" s="315"/>
      <c r="E1196" s="321"/>
      <c r="F1196" s="322"/>
      <c r="G1196" s="315"/>
    </row>
    <row r="1197" spans="1:7" s="32" customFormat="1" x14ac:dyDescent="0.25">
      <c r="A1197" s="315"/>
      <c r="B1197" s="315"/>
      <c r="C1197" s="326"/>
      <c r="D1197" s="315"/>
      <c r="E1197" s="321"/>
      <c r="F1197" s="322"/>
      <c r="G1197" s="315"/>
    </row>
    <row r="1198" spans="1:7" s="32" customFormat="1" x14ac:dyDescent="0.25">
      <c r="A1198" s="315"/>
      <c r="B1198" s="315"/>
      <c r="C1198" s="326"/>
      <c r="D1198" s="315"/>
      <c r="E1198" s="321"/>
      <c r="F1198" s="322"/>
      <c r="G1198" s="315"/>
    </row>
    <row r="1199" spans="1:7" s="32" customFormat="1" x14ac:dyDescent="0.25">
      <c r="A1199" s="315"/>
      <c r="B1199" s="315"/>
      <c r="C1199" s="326"/>
      <c r="D1199" s="315"/>
      <c r="E1199" s="321"/>
      <c r="F1199" s="322"/>
      <c r="G1199" s="315"/>
    </row>
    <row r="1200" spans="1:7" s="32" customFormat="1" x14ac:dyDescent="0.25">
      <c r="A1200" s="315"/>
      <c r="B1200" s="315"/>
      <c r="C1200" s="326"/>
      <c r="D1200" s="315"/>
      <c r="E1200" s="321"/>
      <c r="F1200" s="322"/>
      <c r="G1200" s="315"/>
    </row>
    <row r="1201" spans="1:7" s="32" customFormat="1" x14ac:dyDescent="0.25">
      <c r="A1201" s="315"/>
      <c r="B1201" s="315"/>
      <c r="C1201" s="326"/>
      <c r="D1201" s="315"/>
      <c r="E1201" s="321"/>
      <c r="F1201" s="322"/>
      <c r="G1201" s="315"/>
    </row>
    <row r="1202" spans="1:7" s="32" customFormat="1" x14ac:dyDescent="0.25">
      <c r="A1202" s="315"/>
      <c r="B1202" s="315"/>
      <c r="C1202" s="326"/>
      <c r="D1202" s="315"/>
      <c r="E1202" s="321"/>
      <c r="F1202" s="322"/>
      <c r="G1202" s="315"/>
    </row>
    <row r="1203" spans="1:7" s="32" customFormat="1" x14ac:dyDescent="0.25">
      <c r="A1203" s="315"/>
      <c r="B1203" s="315"/>
      <c r="C1203" s="326"/>
      <c r="D1203" s="315"/>
      <c r="E1203" s="321"/>
      <c r="F1203" s="322"/>
      <c r="G1203" s="315"/>
    </row>
    <row r="1204" spans="1:7" s="32" customFormat="1" x14ac:dyDescent="0.25">
      <c r="A1204" s="315"/>
      <c r="B1204" s="315"/>
      <c r="C1204" s="326"/>
      <c r="D1204" s="315"/>
      <c r="E1204" s="321"/>
      <c r="F1204" s="322"/>
      <c r="G1204" s="315"/>
    </row>
    <row r="1205" spans="1:7" s="32" customFormat="1" x14ac:dyDescent="0.25">
      <c r="A1205" s="315"/>
      <c r="B1205" s="315"/>
      <c r="C1205" s="326"/>
      <c r="D1205" s="315"/>
      <c r="E1205" s="321"/>
      <c r="F1205" s="322"/>
      <c r="G1205" s="315"/>
    </row>
    <row r="1206" spans="1:7" s="32" customFormat="1" x14ac:dyDescent="0.25">
      <c r="A1206" s="315"/>
      <c r="B1206" s="315"/>
      <c r="C1206" s="326"/>
      <c r="D1206" s="315"/>
      <c r="E1206" s="321"/>
      <c r="F1206" s="322"/>
      <c r="G1206" s="315"/>
    </row>
    <row r="1207" spans="1:7" s="32" customFormat="1" x14ac:dyDescent="0.25">
      <c r="A1207" s="315"/>
      <c r="B1207" s="315"/>
      <c r="C1207" s="326"/>
      <c r="D1207" s="315"/>
      <c r="E1207" s="321"/>
      <c r="F1207" s="322"/>
      <c r="G1207" s="315"/>
    </row>
    <row r="1208" spans="1:7" s="32" customFormat="1" x14ac:dyDescent="0.25">
      <c r="A1208" s="315"/>
      <c r="B1208" s="315"/>
      <c r="C1208" s="326"/>
      <c r="D1208" s="315"/>
      <c r="E1208" s="321"/>
      <c r="F1208" s="322"/>
      <c r="G1208" s="315"/>
    </row>
    <row r="1209" spans="1:7" s="32" customFormat="1" x14ac:dyDescent="0.25">
      <c r="A1209" s="315"/>
      <c r="B1209" s="315"/>
      <c r="C1209" s="326"/>
      <c r="D1209" s="315"/>
      <c r="E1209" s="321"/>
      <c r="F1209" s="322"/>
      <c r="G1209" s="315"/>
    </row>
    <row r="1210" spans="1:7" s="32" customFormat="1" x14ac:dyDescent="0.25">
      <c r="A1210" s="315"/>
      <c r="B1210" s="315"/>
      <c r="C1210" s="326"/>
      <c r="D1210" s="315"/>
      <c r="E1210" s="321"/>
      <c r="F1210" s="322"/>
      <c r="G1210" s="315"/>
    </row>
    <row r="1211" spans="1:7" s="32" customFormat="1" x14ac:dyDescent="0.25">
      <c r="A1211" s="315"/>
      <c r="B1211" s="315"/>
      <c r="C1211" s="326"/>
      <c r="D1211" s="315"/>
      <c r="E1211" s="321"/>
      <c r="F1211" s="322"/>
      <c r="G1211" s="315"/>
    </row>
    <row r="1212" spans="1:7" s="32" customFormat="1" x14ac:dyDescent="0.25">
      <c r="A1212" s="315"/>
      <c r="B1212" s="315"/>
      <c r="C1212" s="326"/>
      <c r="D1212" s="315"/>
      <c r="E1212" s="321"/>
      <c r="F1212" s="322"/>
      <c r="G1212" s="315"/>
    </row>
    <row r="1213" spans="1:7" s="32" customFormat="1" x14ac:dyDescent="0.25">
      <c r="A1213" s="315"/>
      <c r="B1213" s="315"/>
      <c r="C1213" s="326"/>
      <c r="D1213" s="315"/>
      <c r="E1213" s="321"/>
      <c r="F1213" s="322"/>
      <c r="G1213" s="315"/>
    </row>
    <row r="1214" spans="1:7" s="32" customFormat="1" x14ac:dyDescent="0.25">
      <c r="A1214" s="315"/>
      <c r="B1214" s="315"/>
      <c r="C1214" s="326"/>
      <c r="D1214" s="315"/>
      <c r="E1214" s="321"/>
      <c r="F1214" s="322"/>
      <c r="G1214" s="315"/>
    </row>
    <row r="1215" spans="1:7" s="32" customFormat="1" x14ac:dyDescent="0.25">
      <c r="A1215" s="315"/>
      <c r="B1215" s="315"/>
      <c r="C1215" s="326"/>
      <c r="D1215" s="315"/>
      <c r="E1215" s="321"/>
      <c r="F1215" s="322"/>
      <c r="G1215" s="315"/>
    </row>
    <row r="1216" spans="1:7" s="32" customFormat="1" x14ac:dyDescent="0.25">
      <c r="A1216" s="315"/>
      <c r="B1216" s="315"/>
      <c r="C1216" s="326"/>
      <c r="D1216" s="315"/>
      <c r="E1216" s="321"/>
      <c r="F1216" s="322"/>
      <c r="G1216" s="315"/>
    </row>
    <row r="1217" spans="1:7" s="32" customFormat="1" x14ac:dyDescent="0.25">
      <c r="A1217" s="315"/>
      <c r="B1217" s="315"/>
      <c r="C1217" s="326"/>
      <c r="D1217" s="315"/>
      <c r="E1217" s="321"/>
      <c r="F1217" s="322"/>
      <c r="G1217" s="315"/>
    </row>
    <row r="1218" spans="1:7" s="32" customFormat="1" x14ac:dyDescent="0.25">
      <c r="A1218" s="315"/>
      <c r="B1218" s="315"/>
      <c r="C1218" s="326"/>
      <c r="D1218" s="315"/>
      <c r="E1218" s="321"/>
      <c r="F1218" s="322"/>
      <c r="G1218" s="315"/>
    </row>
    <row r="1219" spans="1:7" s="32" customFormat="1" x14ac:dyDescent="0.25">
      <c r="A1219" s="315"/>
      <c r="B1219" s="315"/>
      <c r="C1219" s="326"/>
      <c r="D1219" s="315"/>
      <c r="E1219" s="321"/>
      <c r="F1219" s="322"/>
      <c r="G1219" s="315"/>
    </row>
    <row r="1220" spans="1:7" s="32" customFormat="1" x14ac:dyDescent="0.25">
      <c r="A1220" s="315"/>
      <c r="B1220" s="315"/>
      <c r="C1220" s="326"/>
      <c r="D1220" s="315"/>
      <c r="E1220" s="321"/>
      <c r="F1220" s="322"/>
      <c r="G1220" s="315"/>
    </row>
    <row r="1221" spans="1:7" s="32" customFormat="1" x14ac:dyDescent="0.25">
      <c r="A1221" s="315"/>
      <c r="B1221" s="315"/>
      <c r="C1221" s="326"/>
      <c r="D1221" s="315"/>
      <c r="E1221" s="321"/>
      <c r="F1221" s="322"/>
      <c r="G1221" s="315"/>
    </row>
    <row r="1222" spans="1:7" s="32" customFormat="1" x14ac:dyDescent="0.25">
      <c r="A1222" s="315"/>
      <c r="B1222" s="315"/>
      <c r="C1222" s="326"/>
      <c r="D1222" s="315"/>
      <c r="E1222" s="321"/>
      <c r="F1222" s="322"/>
      <c r="G1222" s="315"/>
    </row>
    <row r="1223" spans="1:7" s="32" customFormat="1" x14ac:dyDescent="0.25">
      <c r="A1223" s="315"/>
      <c r="B1223" s="315"/>
      <c r="C1223" s="326"/>
      <c r="D1223" s="315"/>
      <c r="E1223" s="321"/>
      <c r="F1223" s="322"/>
      <c r="G1223" s="315"/>
    </row>
    <row r="1224" spans="1:7" s="32" customFormat="1" x14ac:dyDescent="0.25">
      <c r="A1224" s="315"/>
      <c r="B1224" s="315"/>
      <c r="C1224" s="326"/>
      <c r="D1224" s="315"/>
      <c r="E1224" s="321"/>
      <c r="F1224" s="322"/>
      <c r="G1224" s="315"/>
    </row>
    <row r="1225" spans="1:7" s="32" customFormat="1" x14ac:dyDescent="0.25">
      <c r="A1225" s="315"/>
      <c r="B1225" s="315"/>
      <c r="C1225" s="326"/>
      <c r="D1225" s="315"/>
      <c r="E1225" s="321"/>
      <c r="F1225" s="322"/>
      <c r="G1225" s="315"/>
    </row>
    <row r="1226" spans="1:7" s="32" customFormat="1" x14ac:dyDescent="0.25">
      <c r="A1226" s="315"/>
      <c r="B1226" s="315"/>
      <c r="C1226" s="326"/>
      <c r="D1226" s="315"/>
      <c r="E1226" s="321"/>
      <c r="F1226" s="322"/>
      <c r="G1226" s="315"/>
    </row>
    <row r="1227" spans="1:7" s="32" customFormat="1" x14ac:dyDescent="0.25">
      <c r="A1227" s="315"/>
      <c r="B1227" s="315"/>
      <c r="C1227" s="326"/>
      <c r="D1227" s="315"/>
      <c r="E1227" s="321"/>
      <c r="F1227" s="322"/>
      <c r="G1227" s="315"/>
    </row>
    <row r="1228" spans="1:7" s="32" customFormat="1" x14ac:dyDescent="0.25">
      <c r="A1228" s="315"/>
      <c r="B1228" s="315"/>
      <c r="C1228" s="326"/>
      <c r="D1228" s="315"/>
      <c r="E1228" s="321"/>
      <c r="F1228" s="322"/>
      <c r="G1228" s="315"/>
    </row>
    <row r="1229" spans="1:7" s="32" customFormat="1" x14ac:dyDescent="0.25">
      <c r="A1229" s="315"/>
      <c r="B1229" s="315"/>
      <c r="C1229" s="326"/>
      <c r="D1229" s="315"/>
      <c r="E1229" s="321"/>
      <c r="F1229" s="322"/>
      <c r="G1229" s="315"/>
    </row>
    <row r="1230" spans="1:7" s="32" customFormat="1" x14ac:dyDescent="0.25">
      <c r="A1230" s="315"/>
      <c r="B1230" s="315"/>
      <c r="C1230" s="326"/>
      <c r="D1230" s="315"/>
      <c r="E1230" s="321"/>
      <c r="F1230" s="322"/>
      <c r="G1230" s="315"/>
    </row>
    <row r="1231" spans="1:7" s="32" customFormat="1" x14ac:dyDescent="0.25">
      <c r="A1231" s="315"/>
      <c r="B1231" s="315"/>
      <c r="C1231" s="326"/>
      <c r="D1231" s="315"/>
      <c r="E1231" s="321"/>
      <c r="F1231" s="322"/>
      <c r="G1231" s="315"/>
    </row>
    <row r="1232" spans="1:7" s="32" customFormat="1" x14ac:dyDescent="0.25">
      <c r="A1232" s="315"/>
      <c r="B1232" s="315"/>
      <c r="C1232" s="326"/>
      <c r="D1232" s="315"/>
      <c r="E1232" s="321"/>
      <c r="F1232" s="322"/>
      <c r="G1232" s="315"/>
    </row>
    <row r="1233" spans="1:7" s="32" customFormat="1" x14ac:dyDescent="0.25">
      <c r="A1233" s="315"/>
      <c r="B1233" s="315"/>
      <c r="C1233" s="326"/>
      <c r="D1233" s="315"/>
      <c r="E1233" s="321"/>
      <c r="F1233" s="322"/>
      <c r="G1233" s="315"/>
    </row>
    <row r="1234" spans="1:7" s="32" customFormat="1" x14ac:dyDescent="0.25">
      <c r="A1234" s="315"/>
      <c r="B1234" s="315"/>
      <c r="C1234" s="326"/>
      <c r="D1234" s="315"/>
      <c r="E1234" s="321"/>
      <c r="F1234" s="322"/>
      <c r="G1234" s="315"/>
    </row>
    <row r="1235" spans="1:7" s="32" customFormat="1" x14ac:dyDescent="0.25">
      <c r="A1235" s="315"/>
      <c r="B1235" s="315"/>
      <c r="C1235" s="326"/>
      <c r="D1235" s="315"/>
      <c r="E1235" s="321"/>
      <c r="F1235" s="322"/>
      <c r="G1235" s="315"/>
    </row>
    <row r="1236" spans="1:7" s="32" customFormat="1" x14ac:dyDescent="0.25">
      <c r="A1236" s="315"/>
      <c r="B1236" s="315"/>
      <c r="C1236" s="326"/>
      <c r="D1236" s="315"/>
      <c r="E1236" s="321"/>
      <c r="F1236" s="322"/>
      <c r="G1236" s="315"/>
    </row>
    <row r="1237" spans="1:7" s="32" customFormat="1" x14ac:dyDescent="0.25">
      <c r="A1237" s="315"/>
      <c r="B1237" s="315"/>
      <c r="C1237" s="326"/>
      <c r="D1237" s="315"/>
      <c r="E1237" s="321"/>
      <c r="F1237" s="322"/>
      <c r="G1237" s="315"/>
    </row>
    <row r="1238" spans="1:7" s="32" customFormat="1" x14ac:dyDescent="0.25">
      <c r="A1238" s="315"/>
      <c r="B1238" s="315"/>
      <c r="C1238" s="326"/>
      <c r="D1238" s="315"/>
      <c r="E1238" s="321"/>
      <c r="F1238" s="322"/>
      <c r="G1238" s="315"/>
    </row>
    <row r="1239" spans="1:7" s="32" customFormat="1" x14ac:dyDescent="0.25">
      <c r="A1239" s="315"/>
      <c r="B1239" s="315"/>
      <c r="C1239" s="326"/>
      <c r="D1239" s="315"/>
      <c r="E1239" s="321"/>
      <c r="F1239" s="322"/>
      <c r="G1239" s="315"/>
    </row>
    <row r="1240" spans="1:7" s="32" customFormat="1" x14ac:dyDescent="0.25">
      <c r="A1240" s="315"/>
      <c r="B1240" s="315"/>
      <c r="C1240" s="326"/>
      <c r="D1240" s="315"/>
      <c r="E1240" s="321"/>
      <c r="F1240" s="322"/>
      <c r="G1240" s="315"/>
    </row>
    <row r="1241" spans="1:7" s="32" customFormat="1" x14ac:dyDescent="0.25">
      <c r="A1241" s="315"/>
      <c r="B1241" s="315"/>
      <c r="C1241" s="326"/>
      <c r="D1241" s="315"/>
      <c r="E1241" s="321"/>
      <c r="F1241" s="322"/>
      <c r="G1241" s="315"/>
    </row>
    <row r="1242" spans="1:7" s="32" customFormat="1" x14ac:dyDescent="0.25">
      <c r="A1242" s="315"/>
      <c r="B1242" s="315"/>
      <c r="C1242" s="326"/>
      <c r="D1242" s="315"/>
      <c r="E1242" s="321"/>
      <c r="F1242" s="322"/>
      <c r="G1242" s="315"/>
    </row>
    <row r="1243" spans="1:7" s="32" customFormat="1" x14ac:dyDescent="0.25">
      <c r="A1243" s="315"/>
      <c r="B1243" s="315"/>
      <c r="C1243" s="326"/>
      <c r="D1243" s="315"/>
      <c r="E1243" s="321"/>
      <c r="F1243" s="322"/>
      <c r="G1243" s="315"/>
    </row>
    <row r="1244" spans="1:7" s="32" customFormat="1" x14ac:dyDescent="0.25">
      <c r="A1244" s="315"/>
      <c r="B1244" s="315"/>
      <c r="C1244" s="326"/>
      <c r="D1244" s="315"/>
      <c r="E1244" s="321"/>
      <c r="F1244" s="322"/>
      <c r="G1244" s="315"/>
    </row>
    <row r="1245" spans="1:7" s="32" customFormat="1" x14ac:dyDescent="0.25">
      <c r="A1245" s="315"/>
      <c r="B1245" s="315"/>
      <c r="C1245" s="326"/>
      <c r="D1245" s="315"/>
      <c r="E1245" s="321"/>
      <c r="F1245" s="322"/>
      <c r="G1245" s="315"/>
    </row>
    <row r="1246" spans="1:7" s="32" customFormat="1" x14ac:dyDescent="0.25">
      <c r="A1246" s="315"/>
      <c r="B1246" s="315"/>
      <c r="C1246" s="326"/>
      <c r="D1246" s="315"/>
      <c r="E1246" s="321"/>
      <c r="F1246" s="322"/>
      <c r="G1246" s="315"/>
    </row>
    <row r="1247" spans="1:7" s="32" customFormat="1" x14ac:dyDescent="0.25">
      <c r="A1247" s="315"/>
      <c r="B1247" s="315"/>
      <c r="C1247" s="326"/>
      <c r="D1247" s="315"/>
      <c r="E1247" s="321"/>
      <c r="F1247" s="322"/>
      <c r="G1247" s="315"/>
    </row>
    <row r="1248" spans="1:7" s="32" customFormat="1" x14ac:dyDescent="0.25">
      <c r="A1248" s="315"/>
      <c r="B1248" s="315"/>
      <c r="C1248" s="326"/>
      <c r="D1248" s="315"/>
      <c r="E1248" s="321"/>
      <c r="F1248" s="322"/>
      <c r="G1248" s="315"/>
    </row>
    <row r="1249" spans="1:7" s="32" customFormat="1" x14ac:dyDescent="0.25">
      <c r="A1249" s="315"/>
      <c r="B1249" s="315"/>
      <c r="C1249" s="326"/>
      <c r="D1249" s="315"/>
      <c r="E1249" s="321"/>
      <c r="F1249" s="322"/>
      <c r="G1249" s="315"/>
    </row>
    <row r="1250" spans="1:7" s="32" customFormat="1" x14ac:dyDescent="0.25">
      <c r="A1250" s="315"/>
      <c r="B1250" s="315"/>
      <c r="C1250" s="326"/>
      <c r="D1250" s="315"/>
      <c r="E1250" s="321"/>
      <c r="F1250" s="322"/>
      <c r="G1250" s="315"/>
    </row>
    <row r="1251" spans="1:7" s="32" customFormat="1" x14ac:dyDescent="0.25">
      <c r="A1251" s="315"/>
      <c r="B1251" s="315"/>
      <c r="C1251" s="326"/>
      <c r="D1251" s="315"/>
      <c r="E1251" s="321"/>
      <c r="F1251" s="322"/>
      <c r="G1251" s="315"/>
    </row>
    <row r="1252" spans="1:7" s="32" customFormat="1" x14ac:dyDescent="0.25">
      <c r="A1252" s="315"/>
      <c r="B1252" s="315"/>
      <c r="C1252" s="326"/>
      <c r="D1252" s="315"/>
      <c r="E1252" s="321"/>
      <c r="F1252" s="322"/>
      <c r="G1252" s="315"/>
    </row>
    <row r="1253" spans="1:7" s="32" customFormat="1" x14ac:dyDescent="0.25">
      <c r="A1253" s="315"/>
      <c r="B1253" s="315"/>
      <c r="C1253" s="326"/>
      <c r="D1253" s="315"/>
      <c r="E1253" s="321"/>
      <c r="F1253" s="322"/>
      <c r="G1253" s="315"/>
    </row>
    <row r="1254" spans="1:7" s="32" customFormat="1" x14ac:dyDescent="0.25">
      <c r="A1254" s="315"/>
      <c r="B1254" s="315"/>
      <c r="C1254" s="326"/>
      <c r="D1254" s="315"/>
      <c r="E1254" s="321"/>
      <c r="F1254" s="322"/>
      <c r="G1254" s="315"/>
    </row>
    <row r="1255" spans="1:7" s="32" customFormat="1" x14ac:dyDescent="0.25">
      <c r="A1255" s="315"/>
      <c r="B1255" s="315"/>
      <c r="C1255" s="326"/>
      <c r="D1255" s="315"/>
      <c r="E1255" s="321"/>
      <c r="F1255" s="322"/>
      <c r="G1255" s="315"/>
    </row>
    <row r="1256" spans="1:7" s="32" customFormat="1" x14ac:dyDescent="0.25">
      <c r="A1256" s="315"/>
      <c r="B1256" s="315"/>
      <c r="C1256" s="326"/>
      <c r="D1256" s="315"/>
      <c r="E1256" s="321"/>
      <c r="F1256" s="322"/>
      <c r="G1256" s="315"/>
    </row>
    <row r="1257" spans="1:7" s="32" customFormat="1" x14ac:dyDescent="0.25">
      <c r="A1257" s="315"/>
      <c r="B1257" s="315"/>
      <c r="C1257" s="326"/>
      <c r="D1257" s="315"/>
      <c r="E1257" s="321"/>
      <c r="F1257" s="322"/>
      <c r="G1257" s="315"/>
    </row>
    <row r="1258" spans="1:7" s="32" customFormat="1" x14ac:dyDescent="0.25">
      <c r="A1258" s="315"/>
      <c r="B1258" s="315"/>
      <c r="C1258" s="326"/>
      <c r="D1258" s="315"/>
      <c r="E1258" s="321"/>
      <c r="F1258" s="322"/>
      <c r="G1258" s="315"/>
    </row>
    <row r="1259" spans="1:7" s="32" customFormat="1" x14ac:dyDescent="0.25">
      <c r="A1259" s="315"/>
      <c r="B1259" s="315"/>
      <c r="C1259" s="326"/>
      <c r="D1259" s="315"/>
      <c r="E1259" s="321"/>
      <c r="F1259" s="322"/>
      <c r="G1259" s="315"/>
    </row>
    <row r="1260" spans="1:7" s="32" customFormat="1" x14ac:dyDescent="0.25">
      <c r="A1260" s="315"/>
      <c r="B1260" s="315"/>
      <c r="C1260" s="326"/>
      <c r="D1260" s="315"/>
      <c r="E1260" s="321"/>
      <c r="F1260" s="322"/>
      <c r="G1260" s="315"/>
    </row>
    <row r="1261" spans="1:7" s="32" customFormat="1" x14ac:dyDescent="0.25">
      <c r="A1261" s="315"/>
      <c r="B1261" s="315"/>
      <c r="C1261" s="326"/>
      <c r="D1261" s="315"/>
      <c r="E1261" s="321"/>
      <c r="F1261" s="322"/>
      <c r="G1261" s="315"/>
    </row>
    <row r="1262" spans="1:7" s="32" customFormat="1" x14ac:dyDescent="0.25">
      <c r="A1262" s="315"/>
      <c r="B1262" s="315"/>
      <c r="C1262" s="326"/>
      <c r="D1262" s="315"/>
      <c r="E1262" s="321"/>
      <c r="F1262" s="322"/>
      <c r="G1262" s="315"/>
    </row>
    <row r="1263" spans="1:7" s="32" customFormat="1" x14ac:dyDescent="0.25">
      <c r="A1263" s="315"/>
      <c r="B1263" s="315"/>
      <c r="C1263" s="326"/>
      <c r="D1263" s="315"/>
      <c r="E1263" s="321"/>
      <c r="F1263" s="322"/>
      <c r="G1263" s="315"/>
    </row>
    <row r="1264" spans="1:7" s="32" customFormat="1" x14ac:dyDescent="0.25">
      <c r="A1264" s="315"/>
      <c r="B1264" s="315"/>
      <c r="C1264" s="326"/>
      <c r="D1264" s="315"/>
      <c r="E1264" s="321"/>
      <c r="F1264" s="322"/>
      <c r="G1264" s="315"/>
    </row>
    <row r="1265" spans="1:7" s="32" customFormat="1" x14ac:dyDescent="0.25">
      <c r="A1265" s="315"/>
      <c r="B1265" s="315"/>
      <c r="C1265" s="326"/>
      <c r="D1265" s="315"/>
      <c r="E1265" s="321"/>
      <c r="F1265" s="322"/>
      <c r="G1265" s="315"/>
    </row>
    <row r="1266" spans="1:7" s="32" customFormat="1" x14ac:dyDescent="0.25">
      <c r="A1266" s="315"/>
      <c r="B1266" s="315"/>
      <c r="C1266" s="326"/>
      <c r="D1266" s="315"/>
      <c r="E1266" s="321"/>
      <c r="F1266" s="322"/>
      <c r="G1266" s="315"/>
    </row>
    <row r="1267" spans="1:7" s="32" customFormat="1" x14ac:dyDescent="0.25">
      <c r="A1267" s="315"/>
      <c r="B1267" s="315"/>
      <c r="C1267" s="326"/>
      <c r="D1267" s="315"/>
      <c r="E1267" s="321"/>
      <c r="F1267" s="322"/>
      <c r="G1267" s="315"/>
    </row>
    <row r="1268" spans="1:7" s="32" customFormat="1" x14ac:dyDescent="0.25">
      <c r="A1268" s="315"/>
      <c r="B1268" s="315"/>
      <c r="C1268" s="326"/>
      <c r="D1268" s="315"/>
      <c r="E1268" s="321"/>
      <c r="F1268" s="322"/>
      <c r="G1268" s="315"/>
    </row>
    <row r="1269" spans="1:7" s="32" customFormat="1" x14ac:dyDescent="0.25">
      <c r="A1269" s="315"/>
      <c r="B1269" s="315"/>
      <c r="C1269" s="326"/>
      <c r="D1269" s="315"/>
      <c r="E1269" s="321"/>
      <c r="F1269" s="322"/>
      <c r="G1269" s="315"/>
    </row>
    <row r="1270" spans="1:7" s="32" customFormat="1" x14ac:dyDescent="0.25">
      <c r="A1270" s="315"/>
      <c r="B1270" s="315"/>
      <c r="C1270" s="326"/>
      <c r="D1270" s="315"/>
      <c r="E1270" s="321"/>
      <c r="F1270" s="322"/>
      <c r="G1270" s="315"/>
    </row>
    <row r="1271" spans="1:7" s="32" customFormat="1" x14ac:dyDescent="0.25">
      <c r="A1271" s="315"/>
      <c r="B1271" s="315"/>
      <c r="C1271" s="326"/>
      <c r="D1271" s="315"/>
      <c r="E1271" s="321"/>
      <c r="F1271" s="322"/>
      <c r="G1271" s="315"/>
    </row>
    <row r="1272" spans="1:7" s="32" customFormat="1" x14ac:dyDescent="0.25">
      <c r="A1272" s="315"/>
      <c r="B1272" s="315"/>
      <c r="C1272" s="326"/>
      <c r="D1272" s="315"/>
      <c r="E1272" s="321"/>
      <c r="F1272" s="322"/>
      <c r="G1272" s="315"/>
    </row>
  </sheetData>
  <mergeCells count="12">
    <mergeCell ref="A183:F183"/>
    <mergeCell ref="A184:F184"/>
    <mergeCell ref="A227:F227"/>
    <mergeCell ref="A272:F272"/>
    <mergeCell ref="A340:F340"/>
    <mergeCell ref="A315:F315"/>
    <mergeCell ref="A316:F316"/>
    <mergeCell ref="C1:G1"/>
    <mergeCell ref="A137:F137"/>
    <mergeCell ref="A92:F92"/>
    <mergeCell ref="A93:F93"/>
    <mergeCell ref="A50:F50"/>
  </mergeCells>
  <pageMargins left="0.51181102362204722" right="0.39370078740157483" top="0.94488188976377963" bottom="0.74803149606299213" header="0.23622047244094491" footer="0.31496062992125984"/>
  <pageSetup paperSize="9" firstPageNumber="50"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G</oddHeader>
    <oddFooter>&amp;L&amp;"Arial,Regular"&amp;9Bill of Quantities&amp;R&amp;"Arial,Regular"&amp;9BOQ.&amp;P</oddFooter>
  </headerFooter>
  <rowBreaks count="2" manualBreakCount="2">
    <brk id="50" max="6" man="1"/>
    <brk id="9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75CDA-3E67-4965-A4B5-0C50F8C19101}">
  <dimension ref="A1:G907"/>
  <sheetViews>
    <sheetView view="pageBreakPreview" zoomScale="115" zoomScaleNormal="115" zoomScaleSheetLayoutView="115" workbookViewId="0">
      <selection activeCell="F16" sqref="F16"/>
    </sheetView>
  </sheetViews>
  <sheetFormatPr defaultColWidth="8" defaultRowHeight="12" x14ac:dyDescent="0.25"/>
  <cols>
    <col min="1" max="1" width="8.28515625" style="32" bestFit="1" customWidth="1"/>
    <col min="2" max="2" width="35.140625" style="21" customWidth="1"/>
    <col min="3" max="3" width="5.140625" style="32" customWidth="1"/>
    <col min="4" max="4" width="7.140625" style="59" customWidth="1"/>
    <col min="5" max="5" width="12.140625" style="68" customWidth="1"/>
    <col min="6" max="6" width="27.140625" style="95" customWidth="1"/>
    <col min="7" max="16384" width="8" style="21"/>
  </cols>
  <sheetData>
    <row r="1" spans="1:6" ht="15" customHeight="1" x14ac:dyDescent="0.25">
      <c r="A1" s="89"/>
      <c r="B1" s="528" t="s">
        <v>622</v>
      </c>
      <c r="C1" s="528"/>
      <c r="D1" s="528"/>
      <c r="E1" s="528"/>
      <c r="F1" s="529"/>
    </row>
    <row r="2" spans="1:6" ht="27.75" customHeight="1" x14ac:dyDescent="0.25">
      <c r="A2" s="530" t="s">
        <v>1604</v>
      </c>
      <c r="B2" s="531"/>
      <c r="C2" s="531"/>
      <c r="D2" s="531"/>
      <c r="E2" s="531"/>
      <c r="F2" s="532"/>
    </row>
    <row r="3" spans="1:6" ht="12" customHeight="1" x14ac:dyDescent="0.25">
      <c r="A3" s="535"/>
      <c r="B3" s="536"/>
      <c r="C3" s="536"/>
      <c r="D3" s="536"/>
      <c r="E3" s="536"/>
      <c r="F3" s="537"/>
    </row>
    <row r="4" spans="1:6" ht="30" customHeight="1" x14ac:dyDescent="0.25">
      <c r="A4" s="148" t="s">
        <v>1111</v>
      </c>
      <c r="B4" s="533" t="s">
        <v>0</v>
      </c>
      <c r="C4" s="533"/>
      <c r="D4" s="533"/>
      <c r="E4" s="533"/>
      <c r="F4" s="77" t="s">
        <v>77</v>
      </c>
    </row>
    <row r="5" spans="1:6" ht="9.9499999999999993" customHeight="1" x14ac:dyDescent="0.25">
      <c r="A5" s="535"/>
      <c r="B5" s="536"/>
      <c r="C5" s="536"/>
      <c r="D5" s="536"/>
      <c r="E5" s="536"/>
      <c r="F5" s="537"/>
    </row>
    <row r="6" spans="1:6" ht="39.950000000000003" customHeight="1" x14ac:dyDescent="0.25">
      <c r="A6" s="44" t="s">
        <v>213</v>
      </c>
      <c r="B6" s="534" t="s">
        <v>241</v>
      </c>
      <c r="C6" s="534"/>
      <c r="D6" s="534"/>
      <c r="E6" s="534"/>
      <c r="F6" s="158"/>
    </row>
    <row r="7" spans="1:6" ht="9.9499999999999993" customHeight="1" x14ac:dyDescent="0.25">
      <c r="A7" s="535"/>
      <c r="B7" s="536"/>
      <c r="C7" s="536"/>
      <c r="D7" s="536"/>
      <c r="E7" s="536"/>
      <c r="F7" s="537"/>
    </row>
    <row r="8" spans="1:6" ht="39.950000000000003" customHeight="1" x14ac:dyDescent="0.25">
      <c r="A8" s="44" t="s">
        <v>230</v>
      </c>
      <c r="B8" s="534" t="s">
        <v>628</v>
      </c>
      <c r="C8" s="534"/>
      <c r="D8" s="534"/>
      <c r="E8" s="534"/>
      <c r="F8" s="158"/>
    </row>
    <row r="9" spans="1:6" ht="9.9499999999999993" customHeight="1" x14ac:dyDescent="0.25">
      <c r="A9" s="535"/>
      <c r="B9" s="536"/>
      <c r="C9" s="536"/>
      <c r="D9" s="536"/>
      <c r="E9" s="536"/>
      <c r="F9" s="537"/>
    </row>
    <row r="10" spans="1:6" ht="39.950000000000003" customHeight="1" x14ac:dyDescent="0.25">
      <c r="A10" s="44" t="s">
        <v>461</v>
      </c>
      <c r="B10" s="534" t="s">
        <v>4</v>
      </c>
      <c r="C10" s="534"/>
      <c r="D10" s="534"/>
      <c r="E10" s="534"/>
      <c r="F10" s="299"/>
    </row>
    <row r="11" spans="1:6" ht="9.9499999999999993" customHeight="1" x14ac:dyDescent="0.25">
      <c r="A11" s="535"/>
      <c r="B11" s="536"/>
      <c r="C11" s="536"/>
      <c r="D11" s="536"/>
      <c r="E11" s="536"/>
      <c r="F11" s="537"/>
    </row>
    <row r="12" spans="1:6" ht="39.950000000000003" customHeight="1" x14ac:dyDescent="0.25">
      <c r="A12" s="44" t="s">
        <v>620</v>
      </c>
      <c r="B12" s="534" t="s">
        <v>706</v>
      </c>
      <c r="C12" s="534"/>
      <c r="D12" s="534"/>
      <c r="E12" s="534"/>
      <c r="F12" s="299"/>
    </row>
    <row r="13" spans="1:6" ht="9.9499999999999993" customHeight="1" x14ac:dyDescent="0.25">
      <c r="A13" s="535"/>
      <c r="B13" s="536"/>
      <c r="C13" s="536"/>
      <c r="D13" s="536"/>
      <c r="E13" s="536"/>
      <c r="F13" s="537"/>
    </row>
    <row r="14" spans="1:6" ht="39.950000000000003" customHeight="1" x14ac:dyDescent="0.25">
      <c r="A14" s="44" t="s">
        <v>621</v>
      </c>
      <c r="B14" s="534" t="s">
        <v>245</v>
      </c>
      <c r="C14" s="534"/>
      <c r="D14" s="534"/>
      <c r="E14" s="534"/>
      <c r="F14" s="299"/>
    </row>
    <row r="15" spans="1:6" ht="9.9499999999999993" customHeight="1" x14ac:dyDescent="0.25">
      <c r="A15" s="535"/>
      <c r="B15" s="536"/>
      <c r="C15" s="536"/>
      <c r="D15" s="536"/>
      <c r="E15" s="536"/>
      <c r="F15" s="537"/>
    </row>
    <row r="16" spans="1:6" ht="39.950000000000003" customHeight="1" x14ac:dyDescent="0.25">
      <c r="A16" s="41" t="s">
        <v>174</v>
      </c>
      <c r="B16" s="526" t="s">
        <v>1605</v>
      </c>
      <c r="C16" s="526"/>
      <c r="D16" s="526"/>
      <c r="E16" s="526"/>
      <c r="F16" s="298"/>
    </row>
    <row r="17" spans="1:6" x14ac:dyDescent="0.25">
      <c r="A17" s="300"/>
      <c r="B17" s="301"/>
      <c r="C17" s="301"/>
      <c r="D17" s="301"/>
      <c r="E17" s="301"/>
      <c r="F17" s="302"/>
    </row>
    <row r="18" spans="1:6" x14ac:dyDescent="0.25">
      <c r="A18" s="300"/>
      <c r="B18" s="301"/>
      <c r="C18" s="301"/>
      <c r="D18" s="301"/>
      <c r="E18" s="301"/>
      <c r="F18" s="302"/>
    </row>
    <row r="19" spans="1:6" x14ac:dyDescent="0.25">
      <c r="A19" s="300"/>
      <c r="B19" s="301"/>
      <c r="C19" s="301"/>
      <c r="D19" s="301"/>
      <c r="E19" s="301"/>
      <c r="F19" s="302"/>
    </row>
    <row r="20" spans="1:6" x14ac:dyDescent="0.25">
      <c r="A20" s="300"/>
      <c r="B20" s="301"/>
      <c r="C20" s="301"/>
      <c r="D20" s="301"/>
      <c r="E20" s="301"/>
      <c r="F20" s="302"/>
    </row>
    <row r="21" spans="1:6" x14ac:dyDescent="0.25">
      <c r="A21" s="300"/>
      <c r="B21" s="301"/>
      <c r="C21" s="301"/>
      <c r="D21" s="301"/>
      <c r="E21" s="301"/>
      <c r="F21" s="302"/>
    </row>
    <row r="22" spans="1:6" x14ac:dyDescent="0.25">
      <c r="A22" s="300"/>
      <c r="B22" s="301"/>
      <c r="C22" s="301"/>
      <c r="D22" s="301"/>
      <c r="E22" s="301"/>
      <c r="F22" s="302"/>
    </row>
    <row r="23" spans="1:6" x14ac:dyDescent="0.25">
      <c r="A23" s="300"/>
      <c r="B23" s="301"/>
      <c r="C23" s="301"/>
      <c r="D23" s="301"/>
      <c r="E23" s="301"/>
      <c r="F23" s="302"/>
    </row>
    <row r="24" spans="1:6" x14ac:dyDescent="0.25">
      <c r="A24" s="300"/>
      <c r="B24" s="301"/>
      <c r="C24" s="301"/>
      <c r="D24" s="301"/>
      <c r="E24" s="301"/>
      <c r="F24" s="302"/>
    </row>
    <row r="25" spans="1:6" x14ac:dyDescent="0.25">
      <c r="A25" s="300"/>
      <c r="B25" s="301"/>
      <c r="C25" s="301"/>
      <c r="D25" s="301"/>
      <c r="E25" s="301"/>
      <c r="F25" s="302"/>
    </row>
    <row r="26" spans="1:6" x14ac:dyDescent="0.25">
      <c r="A26" s="300"/>
      <c r="B26" s="301"/>
      <c r="C26" s="301"/>
      <c r="D26" s="301"/>
      <c r="E26" s="301"/>
      <c r="F26" s="302"/>
    </row>
    <row r="27" spans="1:6" x14ac:dyDescent="0.25">
      <c r="A27" s="300"/>
      <c r="B27" s="301"/>
      <c r="C27" s="301"/>
      <c r="D27" s="301"/>
      <c r="E27" s="301"/>
      <c r="F27" s="302"/>
    </row>
    <row r="28" spans="1:6" x14ac:dyDescent="0.25">
      <c r="A28" s="300"/>
      <c r="B28" s="301"/>
      <c r="C28" s="301"/>
      <c r="D28" s="301"/>
      <c r="E28" s="301"/>
      <c r="F28" s="302"/>
    </row>
    <row r="29" spans="1:6" x14ac:dyDescent="0.25">
      <c r="A29" s="300"/>
      <c r="B29" s="301"/>
      <c r="C29" s="301"/>
      <c r="D29" s="301"/>
      <c r="E29" s="301"/>
      <c r="F29" s="302"/>
    </row>
    <row r="30" spans="1:6" x14ac:dyDescent="0.25">
      <c r="A30" s="300"/>
      <c r="B30" s="301"/>
      <c r="C30" s="301"/>
      <c r="D30" s="301"/>
      <c r="E30" s="301"/>
      <c r="F30" s="302"/>
    </row>
    <row r="31" spans="1:6" x14ac:dyDescent="0.25">
      <c r="A31" s="300"/>
      <c r="B31" s="301"/>
      <c r="C31" s="301"/>
      <c r="D31" s="301"/>
      <c r="E31" s="301"/>
      <c r="F31" s="302"/>
    </row>
    <row r="32" spans="1:6" ht="12" customHeight="1" x14ac:dyDescent="0.25">
      <c r="A32" s="303"/>
      <c r="B32" s="304"/>
      <c r="C32" s="35"/>
      <c r="D32" s="305"/>
      <c r="E32" s="306"/>
      <c r="F32" s="302"/>
    </row>
    <row r="33" spans="1:6" ht="12" customHeight="1" x14ac:dyDescent="0.25">
      <c r="A33" s="303"/>
      <c r="B33" s="304"/>
      <c r="C33" s="35"/>
      <c r="D33" s="305"/>
      <c r="E33" s="306"/>
      <c r="F33" s="302"/>
    </row>
    <row r="34" spans="1:6" ht="12" customHeight="1" x14ac:dyDescent="0.25">
      <c r="A34" s="303"/>
      <c r="B34" s="304"/>
      <c r="C34" s="35"/>
      <c r="D34" s="305"/>
      <c r="E34" s="306"/>
      <c r="F34" s="302"/>
    </row>
    <row r="35" spans="1:6" ht="12" customHeight="1" x14ac:dyDescent="0.25">
      <c r="A35" s="303"/>
      <c r="B35" s="304"/>
      <c r="C35" s="35"/>
      <c r="D35" s="305"/>
      <c r="E35" s="306"/>
      <c r="F35" s="302"/>
    </row>
    <row r="36" spans="1:6" ht="12" customHeight="1" x14ac:dyDescent="0.25">
      <c r="A36" s="303"/>
      <c r="B36" s="304"/>
      <c r="C36" s="35"/>
      <c r="D36" s="305"/>
      <c r="E36" s="306"/>
      <c r="F36" s="302"/>
    </row>
    <row r="37" spans="1:6" ht="12" customHeight="1" x14ac:dyDescent="0.25">
      <c r="A37" s="303"/>
      <c r="B37" s="304"/>
      <c r="C37" s="35"/>
      <c r="D37" s="305"/>
      <c r="E37" s="306"/>
      <c r="F37" s="302"/>
    </row>
    <row r="38" spans="1:6" ht="12" customHeight="1" x14ac:dyDescent="0.25">
      <c r="A38" s="303"/>
      <c r="B38" s="304"/>
      <c r="C38" s="35"/>
      <c r="D38" s="305"/>
      <c r="E38" s="306"/>
      <c r="F38" s="302"/>
    </row>
    <row r="39" spans="1:6" ht="12" customHeight="1" x14ac:dyDescent="0.25">
      <c r="A39" s="303"/>
      <c r="B39" s="304"/>
      <c r="C39" s="35"/>
      <c r="D39" s="305"/>
      <c r="E39" s="306"/>
      <c r="F39" s="302"/>
    </row>
    <row r="40" spans="1:6" ht="12" customHeight="1" x14ac:dyDescent="0.25">
      <c r="A40" s="303"/>
      <c r="B40" s="304"/>
      <c r="C40" s="35"/>
      <c r="D40" s="305"/>
      <c r="E40" s="306"/>
      <c r="F40" s="302"/>
    </row>
    <row r="41" spans="1:6" ht="12" customHeight="1" x14ac:dyDescent="0.25">
      <c r="A41" s="303"/>
      <c r="B41" s="304"/>
      <c r="C41" s="35"/>
      <c r="D41" s="305"/>
      <c r="E41" s="306"/>
      <c r="F41" s="302"/>
    </row>
    <row r="42" spans="1:6" ht="12" customHeight="1" x14ac:dyDescent="0.25">
      <c r="A42" s="303"/>
      <c r="B42" s="304"/>
      <c r="C42" s="35"/>
      <c r="D42" s="305"/>
      <c r="E42" s="306"/>
      <c r="F42" s="302"/>
    </row>
    <row r="43" spans="1:6" ht="12" customHeight="1" x14ac:dyDescent="0.25">
      <c r="A43" s="303"/>
      <c r="B43" s="304"/>
      <c r="C43" s="35"/>
      <c r="D43" s="305"/>
      <c r="E43" s="306"/>
      <c r="F43" s="302"/>
    </row>
    <row r="44" spans="1:6" ht="12" customHeight="1" x14ac:dyDescent="0.25">
      <c r="A44" s="303"/>
      <c r="B44" s="304"/>
      <c r="C44" s="35"/>
      <c r="D44" s="305"/>
      <c r="E44" s="306"/>
      <c r="F44" s="302"/>
    </row>
    <row r="45" spans="1:6" ht="12" customHeight="1" x14ac:dyDescent="0.25">
      <c r="A45" s="303"/>
      <c r="B45" s="304"/>
      <c r="C45" s="35"/>
      <c r="D45" s="305"/>
      <c r="E45" s="306"/>
      <c r="F45" s="302"/>
    </row>
    <row r="46" spans="1:6" ht="12" customHeight="1" x14ac:dyDescent="0.25">
      <c r="A46" s="303"/>
      <c r="B46" s="304"/>
      <c r="C46" s="35"/>
      <c r="D46" s="305"/>
      <c r="E46" s="306"/>
      <c r="F46" s="302"/>
    </row>
    <row r="47" spans="1:6" ht="12" customHeight="1" x14ac:dyDescent="0.25">
      <c r="A47" s="303"/>
      <c r="B47" s="304"/>
      <c r="C47" s="35"/>
      <c r="D47" s="305"/>
      <c r="E47" s="306"/>
      <c r="F47" s="302"/>
    </row>
    <row r="48" spans="1:6" ht="12" customHeight="1" x14ac:dyDescent="0.25">
      <c r="A48" s="303"/>
      <c r="B48" s="39"/>
      <c r="C48" s="35"/>
      <c r="D48" s="307"/>
      <c r="E48" s="308"/>
      <c r="F48" s="309"/>
    </row>
    <row r="49" spans="1:7" ht="12" customHeight="1" x14ac:dyDescent="0.25">
      <c r="A49" s="303"/>
      <c r="B49" s="39"/>
      <c r="C49" s="35"/>
      <c r="D49" s="307"/>
      <c r="E49" s="308"/>
      <c r="F49" s="309"/>
    </row>
    <row r="50" spans="1:7" ht="12" customHeight="1" x14ac:dyDescent="0.25">
      <c r="A50" s="303"/>
      <c r="B50" s="304"/>
      <c r="C50" s="35"/>
      <c r="D50" s="307"/>
      <c r="E50" s="308"/>
      <c r="F50" s="309"/>
    </row>
    <row r="51" spans="1:7" ht="12" customHeight="1" x14ac:dyDescent="0.25">
      <c r="A51" s="303"/>
      <c r="B51" s="310"/>
      <c r="C51" s="35"/>
      <c r="D51" s="307"/>
      <c r="E51" s="308"/>
      <c r="F51" s="309"/>
    </row>
    <row r="52" spans="1:7" ht="12" customHeight="1" x14ac:dyDescent="0.25">
      <c r="A52" s="303"/>
      <c r="B52" s="311"/>
      <c r="C52" s="35"/>
      <c r="D52" s="307"/>
      <c r="E52" s="308"/>
      <c r="F52" s="309"/>
    </row>
    <row r="53" spans="1:7" s="32" customFormat="1" ht="15" customHeight="1" x14ac:dyDescent="0.25">
      <c r="B53" s="39"/>
      <c r="D53" s="59"/>
      <c r="E53" s="68"/>
      <c r="F53" s="95"/>
      <c r="G53" s="21"/>
    </row>
    <row r="54" spans="1:7" s="32" customFormat="1" ht="15" customHeight="1" x14ac:dyDescent="0.25">
      <c r="B54" s="39"/>
      <c r="D54" s="59"/>
      <c r="E54" s="68"/>
      <c r="F54" s="95"/>
      <c r="G54" s="21"/>
    </row>
    <row r="55" spans="1:7" s="32" customFormat="1" ht="15" customHeight="1" x14ac:dyDescent="0.25">
      <c r="B55" s="39"/>
      <c r="D55" s="59"/>
      <c r="E55" s="68"/>
      <c r="F55" s="95"/>
      <c r="G55" s="21"/>
    </row>
    <row r="56" spans="1:7" s="32" customFormat="1" ht="15" customHeight="1" x14ac:dyDescent="0.25">
      <c r="B56" s="39"/>
      <c r="D56" s="59"/>
      <c r="E56" s="68"/>
      <c r="F56" s="95"/>
      <c r="G56" s="21"/>
    </row>
    <row r="57" spans="1:7" s="32" customFormat="1" ht="15" customHeight="1" x14ac:dyDescent="0.25">
      <c r="B57" s="39"/>
      <c r="D57" s="59"/>
      <c r="E57" s="68"/>
      <c r="F57" s="95"/>
      <c r="G57" s="21"/>
    </row>
    <row r="58" spans="1:7" s="32" customFormat="1" ht="15" customHeight="1" x14ac:dyDescent="0.25">
      <c r="B58" s="39"/>
      <c r="D58" s="59"/>
      <c r="E58" s="68"/>
      <c r="F58" s="95"/>
      <c r="G58" s="21"/>
    </row>
    <row r="59" spans="1:7" s="32" customFormat="1" ht="15" customHeight="1" x14ac:dyDescent="0.25">
      <c r="B59" s="39"/>
      <c r="D59" s="59"/>
      <c r="E59" s="68"/>
      <c r="F59" s="95"/>
      <c r="G59" s="21"/>
    </row>
    <row r="60" spans="1:7" s="32" customFormat="1" ht="15" customHeight="1" x14ac:dyDescent="0.25">
      <c r="B60" s="39"/>
      <c r="D60" s="59"/>
      <c r="E60" s="68"/>
      <c r="F60" s="95"/>
      <c r="G60" s="21"/>
    </row>
    <row r="61" spans="1:7" s="32" customFormat="1" ht="15" customHeight="1" x14ac:dyDescent="0.25">
      <c r="B61" s="39"/>
      <c r="D61" s="59"/>
      <c r="E61" s="68"/>
      <c r="F61" s="95"/>
      <c r="G61" s="21"/>
    </row>
    <row r="62" spans="1:7" s="32" customFormat="1" ht="15" customHeight="1" x14ac:dyDescent="0.25">
      <c r="B62" s="39"/>
      <c r="D62" s="59"/>
      <c r="E62" s="68"/>
      <c r="F62" s="95"/>
      <c r="G62" s="21"/>
    </row>
    <row r="63" spans="1:7" s="32" customFormat="1" ht="15" customHeight="1" x14ac:dyDescent="0.25">
      <c r="B63" s="39"/>
      <c r="D63" s="59"/>
      <c r="E63" s="68"/>
      <c r="F63" s="95"/>
      <c r="G63" s="21"/>
    </row>
    <row r="64" spans="1:7" s="32" customFormat="1" ht="15" customHeight="1" x14ac:dyDescent="0.25">
      <c r="B64" s="39"/>
      <c r="D64" s="59"/>
      <c r="E64" s="68"/>
      <c r="F64" s="95"/>
      <c r="G64" s="21"/>
    </row>
    <row r="65" spans="2:7" s="32" customFormat="1" ht="15" customHeight="1" x14ac:dyDescent="0.25">
      <c r="B65" s="39"/>
      <c r="D65" s="59"/>
      <c r="E65" s="68"/>
      <c r="F65" s="95"/>
      <c r="G65" s="21"/>
    </row>
    <row r="66" spans="2:7" s="32" customFormat="1" ht="15" customHeight="1" x14ac:dyDescent="0.25">
      <c r="B66" s="39"/>
      <c r="D66" s="59"/>
      <c r="E66" s="68"/>
      <c r="F66" s="95"/>
      <c r="G66" s="21"/>
    </row>
    <row r="67" spans="2:7" s="32" customFormat="1" ht="15" customHeight="1" x14ac:dyDescent="0.25">
      <c r="B67" s="39"/>
      <c r="D67" s="59"/>
      <c r="E67" s="68"/>
      <c r="F67" s="95"/>
      <c r="G67" s="21"/>
    </row>
    <row r="68" spans="2:7" s="32" customFormat="1" ht="15" customHeight="1" x14ac:dyDescent="0.25">
      <c r="B68" s="39"/>
      <c r="D68" s="59"/>
      <c r="E68" s="68"/>
      <c r="F68" s="95"/>
      <c r="G68" s="21"/>
    </row>
    <row r="69" spans="2:7" s="32" customFormat="1" ht="15" customHeight="1" x14ac:dyDescent="0.25">
      <c r="B69" s="39"/>
      <c r="D69" s="59"/>
      <c r="E69" s="68"/>
      <c r="F69" s="95"/>
      <c r="G69" s="21"/>
    </row>
    <row r="70" spans="2:7" s="32" customFormat="1" ht="15" customHeight="1" x14ac:dyDescent="0.25">
      <c r="B70" s="39"/>
      <c r="D70" s="59"/>
      <c r="E70" s="68"/>
      <c r="F70" s="95"/>
      <c r="G70" s="21"/>
    </row>
    <row r="71" spans="2:7" s="32" customFormat="1" ht="15" customHeight="1" x14ac:dyDescent="0.25">
      <c r="B71" s="39"/>
      <c r="D71" s="59"/>
      <c r="E71" s="68"/>
      <c r="F71" s="95"/>
      <c r="G71" s="21"/>
    </row>
    <row r="72" spans="2:7" s="32" customFormat="1" ht="15" customHeight="1" x14ac:dyDescent="0.25">
      <c r="B72" s="39"/>
      <c r="D72" s="59"/>
      <c r="E72" s="68"/>
      <c r="F72" s="95"/>
      <c r="G72" s="21"/>
    </row>
    <row r="73" spans="2:7" s="32" customFormat="1" ht="15" customHeight="1" x14ac:dyDescent="0.25">
      <c r="B73" s="39"/>
      <c r="D73" s="59"/>
      <c r="E73" s="68"/>
      <c r="F73" s="95"/>
      <c r="G73" s="21"/>
    </row>
    <row r="74" spans="2:7" s="32" customFormat="1" ht="15" customHeight="1" x14ac:dyDescent="0.25">
      <c r="B74" s="39"/>
      <c r="D74" s="59"/>
      <c r="E74" s="68"/>
      <c r="F74" s="95"/>
      <c r="G74" s="21"/>
    </row>
    <row r="75" spans="2:7" s="32" customFormat="1" ht="15" customHeight="1" x14ac:dyDescent="0.25">
      <c r="B75" s="39"/>
      <c r="D75" s="59"/>
      <c r="E75" s="68"/>
      <c r="F75" s="95"/>
      <c r="G75" s="21"/>
    </row>
    <row r="76" spans="2:7" s="32" customFormat="1" ht="15" customHeight="1" x14ac:dyDescent="0.25">
      <c r="B76" s="39"/>
      <c r="D76" s="59"/>
      <c r="E76" s="68"/>
      <c r="F76" s="95"/>
      <c r="G76" s="21"/>
    </row>
    <row r="77" spans="2:7" s="32" customFormat="1" ht="15" customHeight="1" x14ac:dyDescent="0.25">
      <c r="B77" s="39"/>
      <c r="D77" s="59"/>
      <c r="E77" s="68"/>
      <c r="F77" s="95"/>
      <c r="G77" s="21"/>
    </row>
    <row r="78" spans="2:7" s="32" customFormat="1" ht="15" customHeight="1" x14ac:dyDescent="0.25">
      <c r="B78" s="39"/>
      <c r="D78" s="59"/>
      <c r="E78" s="68"/>
      <c r="F78" s="95"/>
      <c r="G78" s="21"/>
    </row>
    <row r="79" spans="2:7" s="32" customFormat="1" ht="15" customHeight="1" x14ac:dyDescent="0.25">
      <c r="B79" s="39"/>
      <c r="D79" s="59"/>
      <c r="E79" s="68"/>
      <c r="F79" s="95"/>
      <c r="G79" s="21"/>
    </row>
    <row r="80" spans="2:7" s="32" customFormat="1" ht="15" customHeight="1" x14ac:dyDescent="0.25">
      <c r="B80" s="39"/>
      <c r="D80" s="59"/>
      <c r="E80" s="68"/>
      <c r="F80" s="95"/>
      <c r="G80" s="21"/>
    </row>
    <row r="81" spans="2:7" s="32" customFormat="1" ht="15" customHeight="1" x14ac:dyDescent="0.25">
      <c r="B81" s="39"/>
      <c r="D81" s="59"/>
      <c r="E81" s="68"/>
      <c r="F81" s="95"/>
      <c r="G81" s="21"/>
    </row>
    <row r="82" spans="2:7" s="32" customFormat="1" ht="15" customHeight="1" x14ac:dyDescent="0.25">
      <c r="B82" s="39"/>
      <c r="D82" s="59"/>
      <c r="E82" s="68"/>
      <c r="F82" s="95"/>
      <c r="G82" s="21"/>
    </row>
    <row r="83" spans="2:7" s="32" customFormat="1" ht="15" customHeight="1" x14ac:dyDescent="0.25">
      <c r="B83" s="39"/>
      <c r="D83" s="59"/>
      <c r="E83" s="68"/>
      <c r="F83" s="95"/>
      <c r="G83" s="21"/>
    </row>
    <row r="84" spans="2:7" s="32" customFormat="1" ht="15" customHeight="1" x14ac:dyDescent="0.25">
      <c r="B84" s="39"/>
      <c r="D84" s="59"/>
      <c r="E84" s="68"/>
      <c r="F84" s="95"/>
      <c r="G84" s="21"/>
    </row>
    <row r="85" spans="2:7" s="32" customFormat="1" ht="15" customHeight="1" x14ac:dyDescent="0.25">
      <c r="B85" s="39"/>
      <c r="D85" s="59"/>
      <c r="E85" s="68"/>
      <c r="F85" s="95"/>
      <c r="G85" s="21"/>
    </row>
    <row r="86" spans="2:7" s="32" customFormat="1" ht="15" customHeight="1" x14ac:dyDescent="0.25">
      <c r="B86" s="39"/>
      <c r="D86" s="59"/>
      <c r="E86" s="68"/>
      <c r="F86" s="95"/>
      <c r="G86" s="21"/>
    </row>
    <row r="87" spans="2:7" s="32" customFormat="1" ht="15" customHeight="1" x14ac:dyDescent="0.25">
      <c r="B87" s="39"/>
      <c r="D87" s="59"/>
      <c r="E87" s="68"/>
      <c r="F87" s="95"/>
      <c r="G87" s="21"/>
    </row>
    <row r="88" spans="2:7" s="32" customFormat="1" ht="15" customHeight="1" x14ac:dyDescent="0.25">
      <c r="B88" s="39"/>
      <c r="D88" s="59"/>
      <c r="E88" s="68"/>
      <c r="F88" s="95"/>
      <c r="G88" s="21"/>
    </row>
    <row r="89" spans="2:7" s="32" customFormat="1" ht="15" customHeight="1" x14ac:dyDescent="0.25">
      <c r="B89" s="39"/>
      <c r="D89" s="59"/>
      <c r="E89" s="68"/>
      <c r="F89" s="95"/>
      <c r="G89" s="21"/>
    </row>
    <row r="90" spans="2:7" s="32" customFormat="1" ht="15" customHeight="1" x14ac:dyDescent="0.25">
      <c r="B90" s="39"/>
      <c r="D90" s="59"/>
      <c r="E90" s="68"/>
      <c r="F90" s="95"/>
      <c r="G90" s="21"/>
    </row>
    <row r="91" spans="2:7" s="32" customFormat="1" ht="15" customHeight="1" x14ac:dyDescent="0.25">
      <c r="B91" s="39"/>
      <c r="D91" s="59"/>
      <c r="E91" s="68"/>
      <c r="F91" s="95"/>
      <c r="G91" s="21"/>
    </row>
    <row r="92" spans="2:7" s="32" customFormat="1" ht="15" customHeight="1" x14ac:dyDescent="0.25">
      <c r="B92" s="39"/>
      <c r="D92" s="59"/>
      <c r="E92" s="68"/>
      <c r="F92" s="95"/>
      <c r="G92" s="21"/>
    </row>
    <row r="93" spans="2:7" s="32" customFormat="1" ht="15" customHeight="1" x14ac:dyDescent="0.25">
      <c r="B93" s="39"/>
      <c r="D93" s="59"/>
      <c r="E93" s="68"/>
      <c r="F93" s="95"/>
      <c r="G93" s="21"/>
    </row>
    <row r="94" spans="2:7" s="32" customFormat="1" ht="15" customHeight="1" x14ac:dyDescent="0.25">
      <c r="B94" s="39"/>
      <c r="D94" s="59"/>
      <c r="E94" s="68"/>
      <c r="F94" s="95"/>
      <c r="G94" s="21"/>
    </row>
    <row r="95" spans="2:7" s="32" customFormat="1" ht="15" customHeight="1" x14ac:dyDescent="0.25">
      <c r="B95" s="39"/>
      <c r="D95" s="59"/>
      <c r="E95" s="68"/>
      <c r="F95" s="95"/>
      <c r="G95" s="21"/>
    </row>
    <row r="96" spans="2:7" s="32" customFormat="1" ht="15" customHeight="1" x14ac:dyDescent="0.25">
      <c r="B96" s="39"/>
      <c r="D96" s="59"/>
      <c r="E96" s="68"/>
      <c r="F96" s="95"/>
      <c r="G96" s="21"/>
    </row>
    <row r="97" spans="2:7" s="32" customFormat="1" ht="15" customHeight="1" x14ac:dyDescent="0.25">
      <c r="B97" s="39"/>
      <c r="D97" s="59"/>
      <c r="E97" s="68"/>
      <c r="F97" s="95"/>
      <c r="G97" s="21"/>
    </row>
    <row r="98" spans="2:7" s="32" customFormat="1" ht="15" customHeight="1" x14ac:dyDescent="0.25">
      <c r="B98" s="39"/>
      <c r="D98" s="59"/>
      <c r="E98" s="68"/>
      <c r="F98" s="95"/>
      <c r="G98" s="21"/>
    </row>
    <row r="99" spans="2:7" s="32" customFormat="1" ht="15" customHeight="1" x14ac:dyDescent="0.25">
      <c r="B99" s="39"/>
      <c r="D99" s="59"/>
      <c r="E99" s="68"/>
      <c r="F99" s="95"/>
      <c r="G99" s="21"/>
    </row>
    <row r="100" spans="2:7" s="32" customFormat="1" ht="15" customHeight="1" x14ac:dyDescent="0.25">
      <c r="B100" s="39"/>
      <c r="D100" s="59"/>
      <c r="E100" s="68"/>
      <c r="F100" s="95"/>
      <c r="G100" s="21"/>
    </row>
    <row r="101" spans="2:7" s="32" customFormat="1" ht="15" customHeight="1" x14ac:dyDescent="0.25">
      <c r="B101" s="39"/>
      <c r="D101" s="59"/>
      <c r="E101" s="68"/>
      <c r="F101" s="95"/>
      <c r="G101" s="21"/>
    </row>
    <row r="102" spans="2:7" s="32" customFormat="1" ht="15" customHeight="1" x14ac:dyDescent="0.25">
      <c r="B102" s="39"/>
      <c r="D102" s="59"/>
      <c r="E102" s="68"/>
      <c r="F102" s="95"/>
      <c r="G102" s="21"/>
    </row>
    <row r="103" spans="2:7" s="32" customFormat="1" ht="15" customHeight="1" x14ac:dyDescent="0.25">
      <c r="B103" s="39"/>
      <c r="D103" s="59"/>
      <c r="E103" s="68"/>
      <c r="F103" s="95"/>
      <c r="G103" s="21"/>
    </row>
    <row r="104" spans="2:7" s="32" customFormat="1" ht="15" customHeight="1" x14ac:dyDescent="0.25">
      <c r="B104" s="39"/>
      <c r="D104" s="59"/>
      <c r="E104" s="68"/>
      <c r="F104" s="95"/>
      <c r="G104" s="21"/>
    </row>
    <row r="105" spans="2:7" s="32" customFormat="1" ht="15" customHeight="1" x14ac:dyDescent="0.25">
      <c r="B105" s="39"/>
      <c r="D105" s="59"/>
      <c r="E105" s="68"/>
      <c r="F105" s="95"/>
      <c r="G105" s="21"/>
    </row>
    <row r="106" spans="2:7" s="32" customFormat="1" ht="15" customHeight="1" x14ac:dyDescent="0.25">
      <c r="B106" s="39"/>
      <c r="D106" s="59"/>
      <c r="E106" s="68"/>
      <c r="F106" s="95"/>
      <c r="G106" s="21"/>
    </row>
    <row r="107" spans="2:7" s="32" customFormat="1" ht="15" customHeight="1" x14ac:dyDescent="0.25">
      <c r="B107" s="39"/>
      <c r="D107" s="59"/>
      <c r="E107" s="68"/>
      <c r="F107" s="95"/>
      <c r="G107" s="21"/>
    </row>
    <row r="108" spans="2:7" s="32" customFormat="1" ht="15" customHeight="1" x14ac:dyDescent="0.25">
      <c r="B108" s="39"/>
      <c r="D108" s="59"/>
      <c r="E108" s="68"/>
      <c r="F108" s="95"/>
      <c r="G108" s="21"/>
    </row>
    <row r="109" spans="2:7" s="32" customFormat="1" ht="15" customHeight="1" x14ac:dyDescent="0.25">
      <c r="B109" s="39"/>
      <c r="D109" s="59"/>
      <c r="E109" s="68"/>
      <c r="F109" s="95"/>
      <c r="G109" s="21"/>
    </row>
    <row r="110" spans="2:7" s="32" customFormat="1" ht="15" customHeight="1" x14ac:dyDescent="0.25">
      <c r="B110" s="39"/>
      <c r="D110" s="59"/>
      <c r="E110" s="68"/>
      <c r="F110" s="95"/>
      <c r="G110" s="21"/>
    </row>
    <row r="111" spans="2:7" s="32" customFormat="1" ht="15" customHeight="1" x14ac:dyDescent="0.25">
      <c r="B111" s="39"/>
      <c r="D111" s="59"/>
      <c r="E111" s="68"/>
      <c r="F111" s="95"/>
      <c r="G111" s="21"/>
    </row>
    <row r="112" spans="2:7" s="32" customFormat="1" ht="15" customHeight="1" x14ac:dyDescent="0.25">
      <c r="B112" s="39"/>
      <c r="D112" s="59"/>
      <c r="E112" s="68"/>
      <c r="F112" s="95"/>
      <c r="G112" s="21"/>
    </row>
    <row r="113" spans="2:7" s="32" customFormat="1" ht="15" customHeight="1" x14ac:dyDescent="0.25">
      <c r="B113" s="39"/>
      <c r="D113" s="59"/>
      <c r="E113" s="68"/>
      <c r="F113" s="95"/>
      <c r="G113" s="21"/>
    </row>
    <row r="114" spans="2:7" s="32" customFormat="1" ht="15" customHeight="1" x14ac:dyDescent="0.25">
      <c r="B114" s="39"/>
      <c r="D114" s="59"/>
      <c r="E114" s="68"/>
      <c r="F114" s="95"/>
      <c r="G114" s="21"/>
    </row>
    <row r="115" spans="2:7" s="32" customFormat="1" ht="15" customHeight="1" x14ac:dyDescent="0.25">
      <c r="B115" s="39"/>
      <c r="D115" s="59"/>
      <c r="E115" s="68"/>
      <c r="F115" s="95"/>
      <c r="G115" s="21"/>
    </row>
    <row r="116" spans="2:7" s="32" customFormat="1" ht="15" customHeight="1" x14ac:dyDescent="0.25">
      <c r="B116" s="39"/>
      <c r="D116" s="59"/>
      <c r="E116" s="68"/>
      <c r="F116" s="95"/>
      <c r="G116" s="21"/>
    </row>
    <row r="117" spans="2:7" s="32" customFormat="1" ht="15" customHeight="1" x14ac:dyDescent="0.25">
      <c r="B117" s="39"/>
      <c r="D117" s="59"/>
      <c r="E117" s="68"/>
      <c r="F117" s="95"/>
      <c r="G117" s="21"/>
    </row>
    <row r="118" spans="2:7" s="32" customFormat="1" ht="15" customHeight="1" x14ac:dyDescent="0.25">
      <c r="B118" s="39"/>
      <c r="D118" s="59"/>
      <c r="E118" s="68"/>
      <c r="F118" s="95"/>
      <c r="G118" s="21"/>
    </row>
    <row r="119" spans="2:7" s="32" customFormat="1" ht="15" customHeight="1" x14ac:dyDescent="0.25">
      <c r="B119" s="39"/>
      <c r="D119" s="59"/>
      <c r="E119" s="68"/>
      <c r="F119" s="95"/>
      <c r="G119" s="21"/>
    </row>
    <row r="120" spans="2:7" s="32" customFormat="1" ht="15" customHeight="1" x14ac:dyDescent="0.25">
      <c r="B120" s="39"/>
      <c r="D120" s="59"/>
      <c r="E120" s="68"/>
      <c r="F120" s="95"/>
      <c r="G120" s="21"/>
    </row>
    <row r="121" spans="2:7" s="32" customFormat="1" ht="15" customHeight="1" x14ac:dyDescent="0.25">
      <c r="B121" s="39"/>
      <c r="D121" s="59"/>
      <c r="E121" s="68"/>
      <c r="F121" s="95"/>
      <c r="G121" s="21"/>
    </row>
    <row r="122" spans="2:7" s="32" customFormat="1" ht="15" customHeight="1" x14ac:dyDescent="0.25">
      <c r="B122" s="39"/>
      <c r="D122" s="59"/>
      <c r="E122" s="68"/>
      <c r="F122" s="95"/>
      <c r="G122" s="21"/>
    </row>
    <row r="123" spans="2:7" s="32" customFormat="1" ht="15" customHeight="1" x14ac:dyDescent="0.25">
      <c r="B123" s="39"/>
      <c r="D123" s="59"/>
      <c r="E123" s="68"/>
      <c r="F123" s="95"/>
      <c r="G123" s="21"/>
    </row>
    <row r="124" spans="2:7" s="32" customFormat="1" ht="15" customHeight="1" x14ac:dyDescent="0.25">
      <c r="B124" s="39"/>
      <c r="D124" s="59"/>
      <c r="E124" s="68"/>
      <c r="F124" s="95"/>
      <c r="G124" s="21"/>
    </row>
    <row r="125" spans="2:7" s="32" customFormat="1" ht="15" customHeight="1" x14ac:dyDescent="0.25">
      <c r="B125" s="39"/>
      <c r="D125" s="59"/>
      <c r="E125" s="68"/>
      <c r="F125" s="95"/>
      <c r="G125" s="21"/>
    </row>
    <row r="126" spans="2:7" s="32" customFormat="1" ht="15" customHeight="1" x14ac:dyDescent="0.25">
      <c r="B126" s="39"/>
      <c r="D126" s="59"/>
      <c r="E126" s="68"/>
      <c r="F126" s="95"/>
      <c r="G126" s="21"/>
    </row>
    <row r="127" spans="2:7" s="32" customFormat="1" ht="15" customHeight="1" x14ac:dyDescent="0.25">
      <c r="B127" s="39"/>
      <c r="D127" s="59"/>
      <c r="E127" s="68"/>
      <c r="F127" s="95"/>
      <c r="G127" s="21"/>
    </row>
    <row r="128" spans="2:7" s="32" customFormat="1" ht="15" customHeight="1" x14ac:dyDescent="0.25">
      <c r="B128" s="39"/>
      <c r="D128" s="59"/>
      <c r="E128" s="68"/>
      <c r="F128" s="95"/>
      <c r="G128" s="21"/>
    </row>
    <row r="129" spans="2:7" s="32" customFormat="1" ht="15" customHeight="1" x14ac:dyDescent="0.25">
      <c r="B129" s="39"/>
      <c r="D129" s="59"/>
      <c r="E129" s="68"/>
      <c r="F129" s="95"/>
      <c r="G129" s="21"/>
    </row>
    <row r="130" spans="2:7" s="32" customFormat="1" ht="15" customHeight="1" x14ac:dyDescent="0.25">
      <c r="B130" s="39"/>
      <c r="D130" s="59"/>
      <c r="E130" s="68"/>
      <c r="F130" s="95"/>
      <c r="G130" s="21"/>
    </row>
    <row r="131" spans="2:7" s="32" customFormat="1" ht="15" customHeight="1" x14ac:dyDescent="0.25">
      <c r="B131" s="39"/>
      <c r="D131" s="59"/>
      <c r="E131" s="68"/>
      <c r="F131" s="95"/>
      <c r="G131" s="21"/>
    </row>
    <row r="132" spans="2:7" s="32" customFormat="1" ht="15" customHeight="1" x14ac:dyDescent="0.25">
      <c r="B132" s="39"/>
      <c r="D132" s="59"/>
      <c r="E132" s="68"/>
      <c r="F132" s="95"/>
      <c r="G132" s="21"/>
    </row>
    <row r="133" spans="2:7" s="32" customFormat="1" ht="15" customHeight="1" x14ac:dyDescent="0.25">
      <c r="B133" s="39"/>
      <c r="D133" s="59"/>
      <c r="E133" s="68"/>
      <c r="F133" s="95"/>
      <c r="G133" s="21"/>
    </row>
    <row r="134" spans="2:7" s="32" customFormat="1" ht="15" customHeight="1" x14ac:dyDescent="0.25">
      <c r="B134" s="39"/>
      <c r="D134" s="59"/>
      <c r="E134" s="68"/>
      <c r="F134" s="95"/>
      <c r="G134" s="21"/>
    </row>
    <row r="135" spans="2:7" s="32" customFormat="1" ht="15" customHeight="1" x14ac:dyDescent="0.25">
      <c r="B135" s="39"/>
      <c r="D135" s="59"/>
      <c r="E135" s="68"/>
      <c r="F135" s="95"/>
      <c r="G135" s="21"/>
    </row>
    <row r="136" spans="2:7" s="32" customFormat="1" ht="15" customHeight="1" x14ac:dyDescent="0.25">
      <c r="B136" s="39"/>
      <c r="D136" s="59"/>
      <c r="E136" s="68"/>
      <c r="F136" s="95"/>
      <c r="G136" s="21"/>
    </row>
    <row r="137" spans="2:7" s="32" customFormat="1" ht="15" customHeight="1" x14ac:dyDescent="0.25">
      <c r="B137" s="39"/>
      <c r="D137" s="59"/>
      <c r="E137" s="68"/>
      <c r="F137" s="95"/>
      <c r="G137" s="21"/>
    </row>
    <row r="138" spans="2:7" s="32" customFormat="1" ht="15" customHeight="1" x14ac:dyDescent="0.25">
      <c r="B138" s="39"/>
      <c r="D138" s="59"/>
      <c r="E138" s="68"/>
      <c r="F138" s="95"/>
      <c r="G138" s="21"/>
    </row>
    <row r="139" spans="2:7" s="32" customFormat="1" ht="15" customHeight="1" x14ac:dyDescent="0.25">
      <c r="B139" s="39"/>
      <c r="D139" s="59"/>
      <c r="E139" s="68"/>
      <c r="F139" s="95"/>
      <c r="G139" s="21"/>
    </row>
    <row r="140" spans="2:7" s="32" customFormat="1" ht="15" customHeight="1" x14ac:dyDescent="0.25">
      <c r="B140" s="39"/>
      <c r="D140" s="59"/>
      <c r="E140" s="68"/>
      <c r="F140" s="95"/>
      <c r="G140" s="21"/>
    </row>
    <row r="141" spans="2:7" s="32" customFormat="1" ht="15" customHeight="1" x14ac:dyDescent="0.25">
      <c r="B141" s="39"/>
      <c r="D141" s="59"/>
      <c r="E141" s="68"/>
      <c r="F141" s="95"/>
      <c r="G141" s="21"/>
    </row>
    <row r="142" spans="2:7" s="32" customFormat="1" ht="15" customHeight="1" x14ac:dyDescent="0.25">
      <c r="B142" s="39"/>
      <c r="D142" s="59"/>
      <c r="E142" s="68"/>
      <c r="F142" s="95"/>
      <c r="G142" s="21"/>
    </row>
    <row r="143" spans="2:7" s="32" customFormat="1" ht="15" customHeight="1" x14ac:dyDescent="0.25">
      <c r="B143" s="39"/>
      <c r="D143" s="59"/>
      <c r="E143" s="68"/>
      <c r="F143" s="95"/>
      <c r="G143" s="21"/>
    </row>
    <row r="144" spans="2:7" s="32" customFormat="1" ht="15" customHeight="1" x14ac:dyDescent="0.25">
      <c r="B144" s="39"/>
      <c r="D144" s="59"/>
      <c r="E144" s="68"/>
      <c r="F144" s="95"/>
      <c r="G144" s="21"/>
    </row>
    <row r="145" spans="2:7" s="32" customFormat="1" ht="15" customHeight="1" x14ac:dyDescent="0.25">
      <c r="B145" s="39"/>
      <c r="D145" s="59"/>
      <c r="E145" s="68"/>
      <c r="F145" s="95"/>
      <c r="G145" s="21"/>
    </row>
    <row r="146" spans="2:7" s="32" customFormat="1" ht="15" customHeight="1" x14ac:dyDescent="0.25">
      <c r="B146" s="39"/>
      <c r="D146" s="59"/>
      <c r="E146" s="68"/>
      <c r="F146" s="95"/>
      <c r="G146" s="21"/>
    </row>
    <row r="147" spans="2:7" s="32" customFormat="1" ht="15" customHeight="1" x14ac:dyDescent="0.25">
      <c r="B147" s="39"/>
      <c r="D147" s="59"/>
      <c r="E147" s="68"/>
      <c r="F147" s="95"/>
      <c r="G147" s="21"/>
    </row>
    <row r="148" spans="2:7" s="32" customFormat="1" ht="15" customHeight="1" x14ac:dyDescent="0.25">
      <c r="B148" s="39"/>
      <c r="D148" s="59"/>
      <c r="E148" s="68"/>
      <c r="F148" s="95"/>
      <c r="G148" s="21"/>
    </row>
    <row r="149" spans="2:7" s="32" customFormat="1" ht="15" customHeight="1" x14ac:dyDescent="0.25">
      <c r="B149" s="39"/>
      <c r="D149" s="59"/>
      <c r="E149" s="68"/>
      <c r="F149" s="95"/>
      <c r="G149" s="21"/>
    </row>
    <row r="150" spans="2:7" s="32" customFormat="1" ht="15" customHeight="1" x14ac:dyDescent="0.25">
      <c r="B150" s="39"/>
      <c r="D150" s="59"/>
      <c r="E150" s="68"/>
      <c r="F150" s="95"/>
      <c r="G150" s="21"/>
    </row>
    <row r="151" spans="2:7" s="32" customFormat="1" ht="15" customHeight="1" x14ac:dyDescent="0.25">
      <c r="B151" s="39"/>
      <c r="D151" s="59"/>
      <c r="E151" s="68"/>
      <c r="F151" s="95"/>
      <c r="G151" s="21"/>
    </row>
    <row r="152" spans="2:7" s="32" customFormat="1" ht="15" customHeight="1" x14ac:dyDescent="0.25">
      <c r="B152" s="39"/>
      <c r="D152" s="59"/>
      <c r="E152" s="68"/>
      <c r="F152" s="95"/>
      <c r="G152" s="21"/>
    </row>
    <row r="153" spans="2:7" s="32" customFormat="1" ht="15" customHeight="1" x14ac:dyDescent="0.25">
      <c r="B153" s="39"/>
      <c r="D153" s="59"/>
      <c r="E153" s="68"/>
      <c r="F153" s="95"/>
      <c r="G153" s="21"/>
    </row>
    <row r="154" spans="2:7" s="32" customFormat="1" ht="15" customHeight="1" x14ac:dyDescent="0.25">
      <c r="B154" s="39"/>
      <c r="D154" s="59"/>
      <c r="E154" s="68"/>
      <c r="F154" s="95"/>
      <c r="G154" s="21"/>
    </row>
    <row r="155" spans="2:7" s="32" customFormat="1" ht="15" customHeight="1" x14ac:dyDescent="0.25">
      <c r="B155" s="39"/>
      <c r="D155" s="59"/>
      <c r="E155" s="68"/>
      <c r="F155" s="95"/>
      <c r="G155" s="21"/>
    </row>
    <row r="156" spans="2:7" s="32" customFormat="1" ht="15" customHeight="1" x14ac:dyDescent="0.25">
      <c r="B156" s="39"/>
      <c r="D156" s="59"/>
      <c r="E156" s="68"/>
      <c r="F156" s="95"/>
      <c r="G156" s="21"/>
    </row>
    <row r="157" spans="2:7" s="32" customFormat="1" ht="15" customHeight="1" x14ac:dyDescent="0.25">
      <c r="B157" s="39"/>
      <c r="D157" s="59"/>
      <c r="E157" s="68"/>
      <c r="F157" s="95"/>
      <c r="G157" s="21"/>
    </row>
    <row r="158" spans="2:7" s="32" customFormat="1" ht="15" customHeight="1" x14ac:dyDescent="0.25">
      <c r="B158" s="39"/>
      <c r="D158" s="59"/>
      <c r="E158" s="68"/>
      <c r="F158" s="95"/>
      <c r="G158" s="21"/>
    </row>
    <row r="159" spans="2:7" s="32" customFormat="1" ht="15" customHeight="1" x14ac:dyDescent="0.25">
      <c r="B159" s="39"/>
      <c r="D159" s="59"/>
      <c r="E159" s="68"/>
      <c r="F159" s="95"/>
      <c r="G159" s="21"/>
    </row>
    <row r="160" spans="2:7" s="32" customFormat="1" ht="15" customHeight="1" x14ac:dyDescent="0.25">
      <c r="B160" s="39"/>
      <c r="D160" s="59"/>
      <c r="E160" s="68"/>
      <c r="F160" s="95"/>
      <c r="G160" s="21"/>
    </row>
    <row r="161" spans="2:7" s="32" customFormat="1" ht="15" customHeight="1" x14ac:dyDescent="0.25">
      <c r="B161" s="39"/>
      <c r="D161" s="59"/>
      <c r="E161" s="68"/>
      <c r="F161" s="95"/>
      <c r="G161" s="21"/>
    </row>
    <row r="162" spans="2:7" s="32" customFormat="1" ht="15" customHeight="1" x14ac:dyDescent="0.25">
      <c r="B162" s="39"/>
      <c r="D162" s="59"/>
      <c r="E162" s="68"/>
      <c r="F162" s="95"/>
      <c r="G162" s="21"/>
    </row>
    <row r="163" spans="2:7" s="32" customFormat="1" ht="15" customHeight="1" x14ac:dyDescent="0.25">
      <c r="B163" s="39"/>
      <c r="D163" s="59"/>
      <c r="E163" s="68"/>
      <c r="F163" s="95"/>
      <c r="G163" s="21"/>
    </row>
    <row r="164" spans="2:7" s="32" customFormat="1" ht="15" customHeight="1" x14ac:dyDescent="0.25">
      <c r="B164" s="39"/>
      <c r="D164" s="59"/>
      <c r="E164" s="68"/>
      <c r="F164" s="95"/>
      <c r="G164" s="21"/>
    </row>
    <row r="165" spans="2:7" s="32" customFormat="1" ht="15" customHeight="1" x14ac:dyDescent="0.25">
      <c r="B165" s="39"/>
      <c r="D165" s="59"/>
      <c r="E165" s="68"/>
      <c r="F165" s="95"/>
      <c r="G165" s="21"/>
    </row>
    <row r="166" spans="2:7" s="32" customFormat="1" ht="15" customHeight="1" x14ac:dyDescent="0.25">
      <c r="B166" s="39"/>
      <c r="D166" s="59"/>
      <c r="E166" s="68"/>
      <c r="F166" s="95"/>
      <c r="G166" s="21"/>
    </row>
    <row r="167" spans="2:7" s="32" customFormat="1" ht="15" customHeight="1" x14ac:dyDescent="0.25">
      <c r="B167" s="39"/>
      <c r="D167" s="59"/>
      <c r="E167" s="68"/>
      <c r="F167" s="95"/>
      <c r="G167" s="21"/>
    </row>
    <row r="168" spans="2:7" s="32" customFormat="1" ht="15" customHeight="1" x14ac:dyDescent="0.25">
      <c r="B168" s="39"/>
      <c r="D168" s="59"/>
      <c r="E168" s="68"/>
      <c r="F168" s="95"/>
      <c r="G168" s="21"/>
    </row>
    <row r="169" spans="2:7" s="32" customFormat="1" ht="15" customHeight="1" x14ac:dyDescent="0.25">
      <c r="B169" s="39"/>
      <c r="D169" s="59"/>
      <c r="E169" s="68"/>
      <c r="F169" s="95"/>
      <c r="G169" s="21"/>
    </row>
    <row r="170" spans="2:7" s="32" customFormat="1" ht="15" customHeight="1" x14ac:dyDescent="0.25">
      <c r="B170" s="39"/>
      <c r="D170" s="59"/>
      <c r="E170" s="68"/>
      <c r="F170" s="95"/>
      <c r="G170" s="21"/>
    </row>
    <row r="171" spans="2:7" s="32" customFormat="1" ht="15" customHeight="1" x14ac:dyDescent="0.25">
      <c r="B171" s="39"/>
      <c r="D171" s="59"/>
      <c r="E171" s="68"/>
      <c r="F171" s="95"/>
      <c r="G171" s="21"/>
    </row>
    <row r="172" spans="2:7" s="32" customFormat="1" ht="15" customHeight="1" x14ac:dyDescent="0.25">
      <c r="B172" s="39"/>
      <c r="D172" s="59"/>
      <c r="E172" s="68"/>
      <c r="F172" s="95"/>
      <c r="G172" s="21"/>
    </row>
    <row r="173" spans="2:7" s="32" customFormat="1" ht="15" customHeight="1" x14ac:dyDescent="0.25">
      <c r="B173" s="39"/>
      <c r="D173" s="59"/>
      <c r="E173" s="68"/>
      <c r="F173" s="95"/>
      <c r="G173" s="21"/>
    </row>
    <row r="174" spans="2:7" s="32" customFormat="1" ht="15" customHeight="1" x14ac:dyDescent="0.25">
      <c r="B174" s="39"/>
      <c r="D174" s="59"/>
      <c r="E174" s="68"/>
      <c r="F174" s="95"/>
      <c r="G174" s="21"/>
    </row>
    <row r="175" spans="2:7" s="32" customFormat="1" ht="15" customHeight="1" x14ac:dyDescent="0.25">
      <c r="B175" s="39"/>
      <c r="D175" s="59"/>
      <c r="E175" s="68"/>
      <c r="F175" s="95"/>
      <c r="G175" s="21"/>
    </row>
    <row r="176" spans="2:7" s="32" customFormat="1" ht="15" customHeight="1" x14ac:dyDescent="0.25">
      <c r="B176" s="39"/>
      <c r="D176" s="59"/>
      <c r="E176" s="68"/>
      <c r="F176" s="95"/>
      <c r="G176" s="21"/>
    </row>
    <row r="177" spans="2:7" s="32" customFormat="1" ht="15" customHeight="1" x14ac:dyDescent="0.25">
      <c r="B177" s="39"/>
      <c r="D177" s="59"/>
      <c r="E177" s="68"/>
      <c r="F177" s="95"/>
      <c r="G177" s="21"/>
    </row>
    <row r="178" spans="2:7" s="32" customFormat="1" ht="15" customHeight="1" x14ac:dyDescent="0.25">
      <c r="B178" s="39"/>
      <c r="D178" s="59"/>
      <c r="E178" s="68"/>
      <c r="F178" s="95"/>
      <c r="G178" s="21"/>
    </row>
    <row r="179" spans="2:7" s="32" customFormat="1" ht="15" customHeight="1" x14ac:dyDescent="0.25">
      <c r="B179" s="39"/>
      <c r="D179" s="59"/>
      <c r="E179" s="68"/>
      <c r="F179" s="95"/>
      <c r="G179" s="21"/>
    </row>
    <row r="180" spans="2:7" s="32" customFormat="1" ht="15" customHeight="1" x14ac:dyDescent="0.25">
      <c r="B180" s="39"/>
      <c r="D180" s="59"/>
      <c r="E180" s="68"/>
      <c r="F180" s="95"/>
      <c r="G180" s="21"/>
    </row>
    <row r="181" spans="2:7" s="32" customFormat="1" ht="15" customHeight="1" x14ac:dyDescent="0.25">
      <c r="B181" s="39"/>
      <c r="D181" s="59"/>
      <c r="E181" s="68"/>
      <c r="F181" s="95"/>
      <c r="G181" s="21"/>
    </row>
    <row r="182" spans="2:7" s="32" customFormat="1" ht="15" customHeight="1" x14ac:dyDescent="0.25">
      <c r="B182" s="39"/>
      <c r="D182" s="59"/>
      <c r="E182" s="68"/>
      <c r="F182" s="95"/>
      <c r="G182" s="21"/>
    </row>
    <row r="183" spans="2:7" s="32" customFormat="1" ht="15" customHeight="1" x14ac:dyDescent="0.25">
      <c r="B183" s="39"/>
      <c r="D183" s="59"/>
      <c r="E183" s="68"/>
      <c r="F183" s="95"/>
      <c r="G183" s="21"/>
    </row>
    <row r="184" spans="2:7" s="32" customFormat="1" ht="15" customHeight="1" x14ac:dyDescent="0.25">
      <c r="B184" s="39"/>
      <c r="D184" s="59"/>
      <c r="E184" s="68"/>
      <c r="F184" s="95"/>
      <c r="G184" s="21"/>
    </row>
    <row r="185" spans="2:7" s="32" customFormat="1" ht="15" customHeight="1" x14ac:dyDescent="0.25">
      <c r="B185" s="39"/>
      <c r="D185" s="59"/>
      <c r="E185" s="68"/>
      <c r="F185" s="95"/>
      <c r="G185" s="21"/>
    </row>
    <row r="186" spans="2:7" s="32" customFormat="1" ht="15" customHeight="1" x14ac:dyDescent="0.25">
      <c r="B186" s="39"/>
      <c r="D186" s="59"/>
      <c r="E186" s="68"/>
      <c r="F186" s="95"/>
      <c r="G186" s="21"/>
    </row>
    <row r="187" spans="2:7" s="32" customFormat="1" ht="15" customHeight="1" x14ac:dyDescent="0.25">
      <c r="B187" s="39"/>
      <c r="D187" s="59"/>
      <c r="E187" s="68"/>
      <c r="F187" s="95"/>
      <c r="G187" s="21"/>
    </row>
    <row r="188" spans="2:7" s="32" customFormat="1" ht="15" customHeight="1" x14ac:dyDescent="0.25">
      <c r="B188" s="39"/>
      <c r="D188" s="59"/>
      <c r="E188" s="68"/>
      <c r="F188" s="95"/>
      <c r="G188" s="21"/>
    </row>
    <row r="189" spans="2:7" s="32" customFormat="1" ht="15" customHeight="1" x14ac:dyDescent="0.25">
      <c r="B189" s="39"/>
      <c r="D189" s="59"/>
      <c r="E189" s="68"/>
      <c r="F189" s="95"/>
      <c r="G189" s="21"/>
    </row>
    <row r="190" spans="2:7" s="32" customFormat="1" ht="15" customHeight="1" x14ac:dyDescent="0.25">
      <c r="B190" s="39"/>
      <c r="D190" s="59"/>
      <c r="E190" s="68"/>
      <c r="F190" s="95"/>
      <c r="G190" s="21"/>
    </row>
    <row r="191" spans="2:7" s="32" customFormat="1" ht="15" customHeight="1" x14ac:dyDescent="0.25">
      <c r="B191" s="39"/>
      <c r="D191" s="59"/>
      <c r="E191" s="68"/>
      <c r="F191" s="95"/>
      <c r="G191" s="21"/>
    </row>
    <row r="192" spans="2:7" s="32" customFormat="1" ht="15" customHeight="1" x14ac:dyDescent="0.25">
      <c r="B192" s="39"/>
      <c r="D192" s="59"/>
      <c r="E192" s="68"/>
      <c r="F192" s="95"/>
      <c r="G192" s="21"/>
    </row>
    <row r="193" spans="2:7" s="32" customFormat="1" ht="15" customHeight="1" x14ac:dyDescent="0.25">
      <c r="B193" s="39"/>
      <c r="D193" s="59"/>
      <c r="E193" s="68"/>
      <c r="F193" s="95"/>
      <c r="G193" s="21"/>
    </row>
    <row r="194" spans="2:7" s="32" customFormat="1" ht="15" customHeight="1" x14ac:dyDescent="0.25">
      <c r="B194" s="39"/>
      <c r="D194" s="59"/>
      <c r="E194" s="68"/>
      <c r="F194" s="95"/>
      <c r="G194" s="21"/>
    </row>
    <row r="195" spans="2:7" s="32" customFormat="1" ht="15" customHeight="1" x14ac:dyDescent="0.25">
      <c r="B195" s="39"/>
      <c r="D195" s="59"/>
      <c r="E195" s="68"/>
      <c r="F195" s="95"/>
      <c r="G195" s="21"/>
    </row>
    <row r="196" spans="2:7" s="32" customFormat="1" ht="15" customHeight="1" x14ac:dyDescent="0.25">
      <c r="B196" s="39"/>
      <c r="D196" s="59"/>
      <c r="E196" s="68"/>
      <c r="F196" s="95"/>
      <c r="G196" s="21"/>
    </row>
    <row r="197" spans="2:7" s="32" customFormat="1" ht="15" customHeight="1" x14ac:dyDescent="0.25">
      <c r="B197" s="39"/>
      <c r="D197" s="59"/>
      <c r="E197" s="68"/>
      <c r="F197" s="95"/>
      <c r="G197" s="21"/>
    </row>
    <row r="198" spans="2:7" s="32" customFormat="1" ht="15" customHeight="1" x14ac:dyDescent="0.25">
      <c r="B198" s="39"/>
      <c r="D198" s="59"/>
      <c r="E198" s="68"/>
      <c r="F198" s="95"/>
      <c r="G198" s="21"/>
    </row>
    <row r="199" spans="2:7" s="32" customFormat="1" ht="15" customHeight="1" x14ac:dyDescent="0.25">
      <c r="B199" s="39"/>
      <c r="D199" s="59"/>
      <c r="E199" s="68"/>
      <c r="F199" s="95"/>
      <c r="G199" s="21"/>
    </row>
    <row r="200" spans="2:7" s="32" customFormat="1" ht="15" customHeight="1" x14ac:dyDescent="0.25">
      <c r="B200" s="39"/>
      <c r="D200" s="59"/>
      <c r="E200" s="68"/>
      <c r="F200" s="95"/>
      <c r="G200" s="21"/>
    </row>
    <row r="201" spans="2:7" s="32" customFormat="1" ht="15" customHeight="1" x14ac:dyDescent="0.25">
      <c r="B201" s="39"/>
      <c r="D201" s="59"/>
      <c r="E201" s="68"/>
      <c r="F201" s="95"/>
      <c r="G201" s="21"/>
    </row>
    <row r="202" spans="2:7" s="32" customFormat="1" ht="15" customHeight="1" x14ac:dyDescent="0.25">
      <c r="B202" s="39"/>
      <c r="D202" s="59"/>
      <c r="E202" s="68"/>
      <c r="F202" s="95"/>
      <c r="G202" s="21"/>
    </row>
    <row r="203" spans="2:7" s="32" customFormat="1" ht="15" customHeight="1" x14ac:dyDescent="0.25">
      <c r="B203" s="39"/>
      <c r="D203" s="59"/>
      <c r="E203" s="68"/>
      <c r="F203" s="95"/>
      <c r="G203" s="21"/>
    </row>
    <row r="204" spans="2:7" s="32" customFormat="1" ht="15" customHeight="1" x14ac:dyDescent="0.25">
      <c r="B204" s="39"/>
      <c r="D204" s="59"/>
      <c r="E204" s="68"/>
      <c r="F204" s="95"/>
      <c r="G204" s="21"/>
    </row>
    <row r="205" spans="2:7" s="32" customFormat="1" ht="15" customHeight="1" x14ac:dyDescent="0.25">
      <c r="B205" s="39"/>
      <c r="D205" s="59"/>
      <c r="E205" s="68"/>
      <c r="F205" s="95"/>
      <c r="G205" s="21"/>
    </row>
    <row r="206" spans="2:7" s="32" customFormat="1" ht="15" customHeight="1" x14ac:dyDescent="0.25">
      <c r="B206" s="39"/>
      <c r="D206" s="59"/>
      <c r="E206" s="68"/>
      <c r="F206" s="95"/>
      <c r="G206" s="21"/>
    </row>
    <row r="207" spans="2:7" s="32" customFormat="1" ht="15" customHeight="1" x14ac:dyDescent="0.25">
      <c r="B207" s="39"/>
      <c r="D207" s="59"/>
      <c r="E207" s="68"/>
      <c r="F207" s="95"/>
      <c r="G207" s="21"/>
    </row>
    <row r="208" spans="2:7" s="32" customFormat="1" ht="15" customHeight="1" x14ac:dyDescent="0.25">
      <c r="B208" s="39"/>
      <c r="D208" s="59"/>
      <c r="E208" s="68"/>
      <c r="F208" s="95"/>
      <c r="G208" s="21"/>
    </row>
    <row r="209" spans="2:7" s="32" customFormat="1" ht="15" customHeight="1" x14ac:dyDescent="0.25">
      <c r="B209" s="39"/>
      <c r="D209" s="59"/>
      <c r="E209" s="68"/>
      <c r="F209" s="95"/>
      <c r="G209" s="21"/>
    </row>
    <row r="210" spans="2:7" s="32" customFormat="1" ht="15" customHeight="1" x14ac:dyDescent="0.25">
      <c r="B210" s="39"/>
      <c r="D210" s="59"/>
      <c r="E210" s="68"/>
      <c r="F210" s="95"/>
      <c r="G210" s="21"/>
    </row>
    <row r="211" spans="2:7" s="32" customFormat="1" ht="15" customHeight="1" x14ac:dyDescent="0.25">
      <c r="B211" s="39"/>
      <c r="D211" s="59"/>
      <c r="E211" s="68"/>
      <c r="F211" s="95"/>
      <c r="G211" s="21"/>
    </row>
    <row r="212" spans="2:7" s="32" customFormat="1" ht="15" customHeight="1" x14ac:dyDescent="0.25">
      <c r="B212" s="39"/>
      <c r="D212" s="59"/>
      <c r="E212" s="68"/>
      <c r="F212" s="95"/>
      <c r="G212" s="21"/>
    </row>
    <row r="213" spans="2:7" s="32" customFormat="1" ht="15" customHeight="1" x14ac:dyDescent="0.25">
      <c r="B213" s="39"/>
      <c r="D213" s="59"/>
      <c r="E213" s="68"/>
      <c r="F213" s="95"/>
      <c r="G213" s="21"/>
    </row>
    <row r="214" spans="2:7" s="32" customFormat="1" ht="15" customHeight="1" x14ac:dyDescent="0.25">
      <c r="B214" s="39"/>
      <c r="D214" s="59"/>
      <c r="E214" s="68"/>
      <c r="F214" s="95"/>
      <c r="G214" s="21"/>
    </row>
    <row r="215" spans="2:7" s="32" customFormat="1" ht="15" customHeight="1" x14ac:dyDescent="0.25">
      <c r="B215" s="39"/>
      <c r="D215" s="59"/>
      <c r="E215" s="68"/>
      <c r="F215" s="95"/>
      <c r="G215" s="21"/>
    </row>
    <row r="216" spans="2:7" s="32" customFormat="1" ht="15" customHeight="1" x14ac:dyDescent="0.25">
      <c r="B216" s="39"/>
      <c r="D216" s="59"/>
      <c r="E216" s="68"/>
      <c r="F216" s="95"/>
      <c r="G216" s="21"/>
    </row>
    <row r="217" spans="2:7" s="32" customFormat="1" ht="15" customHeight="1" x14ac:dyDescent="0.25">
      <c r="B217" s="39"/>
      <c r="D217" s="59"/>
      <c r="E217" s="68"/>
      <c r="F217" s="95"/>
      <c r="G217" s="21"/>
    </row>
    <row r="218" spans="2:7" s="32" customFormat="1" ht="15" customHeight="1" x14ac:dyDescent="0.25">
      <c r="B218" s="39"/>
      <c r="D218" s="59"/>
      <c r="E218" s="68"/>
      <c r="F218" s="95"/>
      <c r="G218" s="21"/>
    </row>
    <row r="219" spans="2:7" s="32" customFormat="1" ht="15" customHeight="1" x14ac:dyDescent="0.25">
      <c r="B219" s="39"/>
      <c r="D219" s="59"/>
      <c r="E219" s="68"/>
      <c r="F219" s="95"/>
      <c r="G219" s="21"/>
    </row>
    <row r="220" spans="2:7" s="32" customFormat="1" ht="15" customHeight="1" x14ac:dyDescent="0.25">
      <c r="B220" s="39"/>
      <c r="D220" s="59"/>
      <c r="E220" s="68"/>
      <c r="F220" s="95"/>
      <c r="G220" s="21"/>
    </row>
    <row r="221" spans="2:7" s="32" customFormat="1" ht="15" customHeight="1" x14ac:dyDescent="0.25">
      <c r="B221" s="39"/>
      <c r="D221" s="59"/>
      <c r="E221" s="68"/>
      <c r="F221" s="95"/>
      <c r="G221" s="21"/>
    </row>
    <row r="222" spans="2:7" s="32" customFormat="1" ht="15" customHeight="1" x14ac:dyDescent="0.25">
      <c r="B222" s="39"/>
      <c r="D222" s="59"/>
      <c r="E222" s="68"/>
      <c r="F222" s="95"/>
      <c r="G222" s="21"/>
    </row>
    <row r="223" spans="2:7" s="32" customFormat="1" ht="15" customHeight="1" x14ac:dyDescent="0.25">
      <c r="B223" s="39"/>
      <c r="D223" s="59"/>
      <c r="E223" s="68"/>
      <c r="F223" s="95"/>
      <c r="G223" s="21"/>
    </row>
    <row r="224" spans="2:7" s="32" customFormat="1" ht="15" customHeight="1" x14ac:dyDescent="0.25">
      <c r="B224" s="39"/>
      <c r="D224" s="59"/>
      <c r="E224" s="68"/>
      <c r="F224" s="95"/>
      <c r="G224" s="21"/>
    </row>
    <row r="225" spans="2:7" s="32" customFormat="1" ht="15" customHeight="1" x14ac:dyDescent="0.25">
      <c r="B225" s="39"/>
      <c r="D225" s="59"/>
      <c r="E225" s="68"/>
      <c r="F225" s="95"/>
      <c r="G225" s="21"/>
    </row>
    <row r="226" spans="2:7" s="32" customFormat="1" ht="15" customHeight="1" x14ac:dyDescent="0.25">
      <c r="B226" s="39"/>
      <c r="D226" s="59"/>
      <c r="E226" s="68"/>
      <c r="F226" s="95"/>
      <c r="G226" s="21"/>
    </row>
    <row r="227" spans="2:7" s="32" customFormat="1" ht="15" customHeight="1" x14ac:dyDescent="0.25">
      <c r="B227" s="39"/>
      <c r="D227" s="59"/>
      <c r="E227" s="68"/>
      <c r="F227" s="95"/>
      <c r="G227" s="21"/>
    </row>
    <row r="228" spans="2:7" s="32" customFormat="1" ht="15" customHeight="1" x14ac:dyDescent="0.25">
      <c r="B228" s="39"/>
      <c r="D228" s="59"/>
      <c r="E228" s="68"/>
      <c r="F228" s="95"/>
      <c r="G228" s="21"/>
    </row>
    <row r="229" spans="2:7" s="32" customFormat="1" ht="15" customHeight="1" x14ac:dyDescent="0.25">
      <c r="B229" s="39"/>
      <c r="D229" s="59"/>
      <c r="E229" s="68"/>
      <c r="F229" s="95"/>
      <c r="G229" s="21"/>
    </row>
    <row r="230" spans="2:7" s="32" customFormat="1" ht="15" customHeight="1" x14ac:dyDescent="0.25">
      <c r="B230" s="39"/>
      <c r="D230" s="59"/>
      <c r="E230" s="68"/>
      <c r="F230" s="95"/>
      <c r="G230" s="21"/>
    </row>
    <row r="231" spans="2:7" s="32" customFormat="1" ht="15" customHeight="1" x14ac:dyDescent="0.25">
      <c r="B231" s="39"/>
      <c r="D231" s="59"/>
      <c r="E231" s="68"/>
      <c r="F231" s="95"/>
      <c r="G231" s="21"/>
    </row>
    <row r="232" spans="2:7" s="32" customFormat="1" ht="15" customHeight="1" x14ac:dyDescent="0.25">
      <c r="B232" s="39"/>
      <c r="D232" s="59"/>
      <c r="E232" s="68"/>
      <c r="F232" s="95"/>
      <c r="G232" s="21"/>
    </row>
    <row r="233" spans="2:7" s="32" customFormat="1" ht="15" customHeight="1" x14ac:dyDescent="0.25">
      <c r="B233" s="39"/>
      <c r="D233" s="59"/>
      <c r="E233" s="68"/>
      <c r="F233" s="95"/>
      <c r="G233" s="21"/>
    </row>
    <row r="234" spans="2:7" s="32" customFormat="1" ht="15" customHeight="1" x14ac:dyDescent="0.25">
      <c r="B234" s="39"/>
      <c r="D234" s="59"/>
      <c r="E234" s="68"/>
      <c r="F234" s="95"/>
      <c r="G234" s="21"/>
    </row>
    <row r="235" spans="2:7" s="32" customFormat="1" ht="15" customHeight="1" x14ac:dyDescent="0.25">
      <c r="B235" s="39"/>
      <c r="D235" s="59"/>
      <c r="E235" s="68"/>
      <c r="F235" s="95"/>
      <c r="G235" s="21"/>
    </row>
    <row r="236" spans="2:7" s="32" customFormat="1" ht="15" customHeight="1" x14ac:dyDescent="0.25">
      <c r="B236" s="39"/>
      <c r="D236" s="59"/>
      <c r="E236" s="68"/>
      <c r="F236" s="95"/>
      <c r="G236" s="21"/>
    </row>
    <row r="237" spans="2:7" s="32" customFormat="1" ht="15" customHeight="1" x14ac:dyDescent="0.25">
      <c r="B237" s="39"/>
      <c r="D237" s="59"/>
      <c r="E237" s="68"/>
      <c r="F237" s="95"/>
      <c r="G237" s="21"/>
    </row>
    <row r="238" spans="2:7" s="32" customFormat="1" ht="15" customHeight="1" x14ac:dyDescent="0.25">
      <c r="B238" s="39"/>
      <c r="D238" s="59"/>
      <c r="E238" s="68"/>
      <c r="F238" s="95"/>
      <c r="G238" s="21"/>
    </row>
    <row r="239" spans="2:7" s="32" customFormat="1" ht="15" customHeight="1" x14ac:dyDescent="0.25">
      <c r="B239" s="39"/>
      <c r="D239" s="59"/>
      <c r="E239" s="68"/>
      <c r="F239" s="95"/>
      <c r="G239" s="21"/>
    </row>
    <row r="240" spans="2:7" s="32" customFormat="1" ht="15" customHeight="1" x14ac:dyDescent="0.25">
      <c r="B240" s="39"/>
      <c r="D240" s="59"/>
      <c r="E240" s="68"/>
      <c r="F240" s="95"/>
      <c r="G240" s="21"/>
    </row>
    <row r="241" spans="2:7" s="32" customFormat="1" ht="15" customHeight="1" x14ac:dyDescent="0.25">
      <c r="B241" s="39"/>
      <c r="D241" s="59"/>
      <c r="E241" s="68"/>
      <c r="F241" s="95"/>
      <c r="G241" s="21"/>
    </row>
    <row r="242" spans="2:7" s="32" customFormat="1" ht="15" customHeight="1" x14ac:dyDescent="0.25">
      <c r="B242" s="39"/>
      <c r="D242" s="59"/>
      <c r="E242" s="68"/>
      <c r="F242" s="95"/>
      <c r="G242" s="21"/>
    </row>
    <row r="243" spans="2:7" s="32" customFormat="1" ht="15" customHeight="1" x14ac:dyDescent="0.25">
      <c r="B243" s="39"/>
      <c r="D243" s="59"/>
      <c r="E243" s="68"/>
      <c r="F243" s="95"/>
      <c r="G243" s="21"/>
    </row>
    <row r="244" spans="2:7" s="32" customFormat="1" ht="15" customHeight="1" x14ac:dyDescent="0.25">
      <c r="B244" s="39"/>
      <c r="D244" s="59"/>
      <c r="E244" s="68"/>
      <c r="F244" s="95"/>
      <c r="G244" s="21"/>
    </row>
    <row r="245" spans="2:7" s="32" customFormat="1" ht="15" customHeight="1" x14ac:dyDescent="0.25">
      <c r="B245" s="39"/>
      <c r="D245" s="59"/>
      <c r="E245" s="68"/>
      <c r="F245" s="95"/>
      <c r="G245" s="21"/>
    </row>
    <row r="246" spans="2:7" s="32" customFormat="1" ht="15" customHeight="1" x14ac:dyDescent="0.25">
      <c r="B246" s="39"/>
      <c r="D246" s="59"/>
      <c r="E246" s="68"/>
      <c r="F246" s="95"/>
      <c r="G246" s="21"/>
    </row>
    <row r="247" spans="2:7" s="32" customFormat="1" ht="15" customHeight="1" x14ac:dyDescent="0.25">
      <c r="B247" s="39"/>
      <c r="D247" s="59"/>
      <c r="E247" s="68"/>
      <c r="F247" s="95"/>
      <c r="G247" s="21"/>
    </row>
    <row r="248" spans="2:7" s="32" customFormat="1" ht="15" customHeight="1" x14ac:dyDescent="0.25">
      <c r="B248" s="39"/>
      <c r="D248" s="59"/>
      <c r="E248" s="68"/>
      <c r="F248" s="95"/>
      <c r="G248" s="21"/>
    </row>
    <row r="249" spans="2:7" s="32" customFormat="1" ht="15" customHeight="1" x14ac:dyDescent="0.25">
      <c r="B249" s="39"/>
      <c r="D249" s="59"/>
      <c r="E249" s="68"/>
      <c r="F249" s="95"/>
      <c r="G249" s="21"/>
    </row>
    <row r="250" spans="2:7" s="32" customFormat="1" ht="15" customHeight="1" x14ac:dyDescent="0.25">
      <c r="B250" s="39"/>
      <c r="D250" s="59"/>
      <c r="E250" s="68"/>
      <c r="F250" s="95"/>
      <c r="G250" s="21"/>
    </row>
    <row r="251" spans="2:7" s="32" customFormat="1" x14ac:dyDescent="0.25">
      <c r="B251" s="39"/>
      <c r="D251" s="59"/>
      <c r="E251" s="68"/>
      <c r="F251" s="95"/>
      <c r="G251" s="21"/>
    </row>
    <row r="252" spans="2:7" s="32" customFormat="1" x14ac:dyDescent="0.25">
      <c r="B252" s="39"/>
      <c r="D252" s="59"/>
      <c r="E252" s="68"/>
      <c r="F252" s="95"/>
      <c r="G252" s="21"/>
    </row>
    <row r="253" spans="2:7" s="32" customFormat="1" x14ac:dyDescent="0.25">
      <c r="B253" s="39"/>
      <c r="D253" s="59"/>
      <c r="E253" s="68"/>
      <c r="F253" s="95"/>
      <c r="G253" s="21"/>
    </row>
    <row r="254" spans="2:7" s="32" customFormat="1" x14ac:dyDescent="0.25">
      <c r="B254" s="39"/>
      <c r="D254" s="59"/>
      <c r="E254" s="68"/>
      <c r="F254" s="95"/>
      <c r="G254" s="21"/>
    </row>
    <row r="255" spans="2:7" s="32" customFormat="1" x14ac:dyDescent="0.25">
      <c r="B255" s="39"/>
      <c r="D255" s="59"/>
      <c r="E255" s="68"/>
      <c r="F255" s="95"/>
      <c r="G255" s="21"/>
    </row>
    <row r="256" spans="2:7" s="32" customFormat="1" x14ac:dyDescent="0.25">
      <c r="B256" s="39"/>
      <c r="D256" s="59"/>
      <c r="E256" s="68"/>
      <c r="F256" s="95"/>
      <c r="G256" s="21"/>
    </row>
    <row r="257" spans="2:7" s="32" customFormat="1" x14ac:dyDescent="0.25">
      <c r="B257" s="39"/>
      <c r="D257" s="59"/>
      <c r="E257" s="68"/>
      <c r="F257" s="95"/>
      <c r="G257" s="21"/>
    </row>
    <row r="258" spans="2:7" s="32" customFormat="1" x14ac:dyDescent="0.25">
      <c r="B258" s="39"/>
      <c r="D258" s="59"/>
      <c r="E258" s="68"/>
      <c r="F258" s="95"/>
      <c r="G258" s="21"/>
    </row>
    <row r="259" spans="2:7" s="32" customFormat="1" x14ac:dyDescent="0.25">
      <c r="B259" s="39"/>
      <c r="D259" s="59"/>
      <c r="E259" s="68"/>
      <c r="F259" s="95"/>
      <c r="G259" s="21"/>
    </row>
    <row r="260" spans="2:7" s="32" customFormat="1" x14ac:dyDescent="0.25">
      <c r="B260" s="39"/>
      <c r="D260" s="59"/>
      <c r="E260" s="68"/>
      <c r="F260" s="95"/>
      <c r="G260" s="21"/>
    </row>
    <row r="261" spans="2:7" s="32" customFormat="1" x14ac:dyDescent="0.25">
      <c r="B261" s="39"/>
      <c r="D261" s="59"/>
      <c r="E261" s="68"/>
      <c r="F261" s="95"/>
      <c r="G261" s="21"/>
    </row>
    <row r="262" spans="2:7" s="32" customFormat="1" x14ac:dyDescent="0.25">
      <c r="B262" s="39"/>
      <c r="D262" s="59"/>
      <c r="E262" s="68"/>
      <c r="F262" s="95"/>
      <c r="G262" s="21"/>
    </row>
    <row r="263" spans="2:7" s="32" customFormat="1" x14ac:dyDescent="0.25">
      <c r="B263" s="39"/>
      <c r="D263" s="59"/>
      <c r="E263" s="68"/>
      <c r="F263" s="95"/>
      <c r="G263" s="21"/>
    </row>
    <row r="264" spans="2:7" s="32" customFormat="1" x14ac:dyDescent="0.25">
      <c r="B264" s="39"/>
      <c r="D264" s="59"/>
      <c r="E264" s="68"/>
      <c r="F264" s="95"/>
      <c r="G264" s="21"/>
    </row>
    <row r="265" spans="2:7" s="32" customFormat="1" x14ac:dyDescent="0.25">
      <c r="B265" s="39"/>
      <c r="D265" s="59"/>
      <c r="E265" s="68"/>
      <c r="F265" s="95"/>
      <c r="G265" s="21"/>
    </row>
    <row r="266" spans="2:7" s="32" customFormat="1" x14ac:dyDescent="0.25">
      <c r="B266" s="39"/>
      <c r="D266" s="59"/>
      <c r="E266" s="68"/>
      <c r="F266" s="95"/>
      <c r="G266" s="21"/>
    </row>
    <row r="267" spans="2:7" s="32" customFormat="1" x14ac:dyDescent="0.25">
      <c r="B267" s="39"/>
      <c r="D267" s="59"/>
      <c r="E267" s="68"/>
      <c r="F267" s="95"/>
      <c r="G267" s="21"/>
    </row>
    <row r="268" spans="2:7" s="32" customFormat="1" x14ac:dyDescent="0.25">
      <c r="B268" s="39"/>
      <c r="D268" s="59"/>
      <c r="E268" s="68"/>
      <c r="F268" s="95"/>
      <c r="G268" s="21"/>
    </row>
    <row r="269" spans="2:7" s="32" customFormat="1" x14ac:dyDescent="0.25">
      <c r="B269" s="39"/>
      <c r="D269" s="59"/>
      <c r="E269" s="68"/>
      <c r="F269" s="95"/>
      <c r="G269" s="21"/>
    </row>
    <row r="270" spans="2:7" s="32" customFormat="1" x14ac:dyDescent="0.25">
      <c r="B270" s="39"/>
      <c r="D270" s="59"/>
      <c r="E270" s="68"/>
      <c r="F270" s="95"/>
      <c r="G270" s="21"/>
    </row>
    <row r="271" spans="2:7" s="32" customFormat="1" x14ac:dyDescent="0.25">
      <c r="B271" s="39"/>
      <c r="D271" s="59"/>
      <c r="E271" s="68"/>
      <c r="F271" s="95"/>
      <c r="G271" s="21"/>
    </row>
    <row r="272" spans="2:7" s="32" customFormat="1" x14ac:dyDescent="0.25">
      <c r="B272" s="39"/>
      <c r="D272" s="59"/>
      <c r="E272" s="68"/>
      <c r="F272" s="95"/>
      <c r="G272" s="21"/>
    </row>
    <row r="273" spans="2:7" s="32" customFormat="1" x14ac:dyDescent="0.25">
      <c r="B273" s="39"/>
      <c r="D273" s="59"/>
      <c r="E273" s="68"/>
      <c r="F273" s="95"/>
      <c r="G273" s="21"/>
    </row>
    <row r="274" spans="2:7" s="32" customFormat="1" x14ac:dyDescent="0.25">
      <c r="B274" s="39"/>
      <c r="D274" s="59"/>
      <c r="E274" s="68"/>
      <c r="F274" s="95"/>
      <c r="G274" s="21"/>
    </row>
    <row r="275" spans="2:7" s="32" customFormat="1" x14ac:dyDescent="0.25">
      <c r="B275" s="39"/>
      <c r="D275" s="59"/>
      <c r="E275" s="68"/>
      <c r="F275" s="95"/>
      <c r="G275" s="21"/>
    </row>
    <row r="276" spans="2:7" s="32" customFormat="1" x14ac:dyDescent="0.25">
      <c r="B276" s="39"/>
      <c r="D276" s="59"/>
      <c r="E276" s="68"/>
      <c r="F276" s="95"/>
      <c r="G276" s="21"/>
    </row>
    <row r="277" spans="2:7" s="32" customFormat="1" x14ac:dyDescent="0.25">
      <c r="B277" s="39"/>
      <c r="D277" s="59"/>
      <c r="E277" s="68"/>
      <c r="F277" s="95"/>
      <c r="G277" s="21"/>
    </row>
    <row r="278" spans="2:7" s="32" customFormat="1" x14ac:dyDescent="0.25">
      <c r="B278" s="39"/>
      <c r="D278" s="59"/>
      <c r="E278" s="68"/>
      <c r="F278" s="95"/>
      <c r="G278" s="21"/>
    </row>
    <row r="279" spans="2:7" s="32" customFormat="1" x14ac:dyDescent="0.25">
      <c r="B279" s="39"/>
      <c r="D279" s="59"/>
      <c r="E279" s="68"/>
      <c r="F279" s="95"/>
      <c r="G279" s="21"/>
    </row>
    <row r="280" spans="2:7" s="32" customFormat="1" x14ac:dyDescent="0.25">
      <c r="B280" s="39"/>
      <c r="D280" s="59"/>
      <c r="E280" s="68"/>
      <c r="F280" s="95"/>
      <c r="G280" s="21"/>
    </row>
    <row r="281" spans="2:7" s="32" customFormat="1" x14ac:dyDescent="0.25">
      <c r="B281" s="39"/>
      <c r="D281" s="59"/>
      <c r="E281" s="68"/>
      <c r="F281" s="95"/>
      <c r="G281" s="21"/>
    </row>
    <row r="282" spans="2:7" s="32" customFormat="1" x14ac:dyDescent="0.25">
      <c r="B282" s="39"/>
      <c r="D282" s="59"/>
      <c r="E282" s="68"/>
      <c r="F282" s="95"/>
      <c r="G282" s="21"/>
    </row>
    <row r="283" spans="2:7" s="32" customFormat="1" x14ac:dyDescent="0.25">
      <c r="B283" s="39"/>
      <c r="D283" s="59"/>
      <c r="E283" s="68"/>
      <c r="F283" s="95"/>
      <c r="G283" s="21"/>
    </row>
    <row r="284" spans="2:7" s="32" customFormat="1" x14ac:dyDescent="0.25">
      <c r="B284" s="39"/>
      <c r="D284" s="59"/>
      <c r="E284" s="68"/>
      <c r="F284" s="95"/>
      <c r="G284" s="21"/>
    </row>
    <row r="285" spans="2:7" s="32" customFormat="1" x14ac:dyDescent="0.25">
      <c r="B285" s="39"/>
      <c r="D285" s="59"/>
      <c r="E285" s="68"/>
      <c r="F285" s="95"/>
      <c r="G285" s="21"/>
    </row>
    <row r="286" spans="2:7" s="32" customFormat="1" x14ac:dyDescent="0.25">
      <c r="B286" s="39"/>
      <c r="D286" s="59"/>
      <c r="E286" s="68"/>
      <c r="F286" s="95"/>
      <c r="G286" s="21"/>
    </row>
    <row r="287" spans="2:7" s="32" customFormat="1" x14ac:dyDescent="0.25">
      <c r="B287" s="39"/>
      <c r="D287" s="59"/>
      <c r="E287" s="68"/>
      <c r="F287" s="95"/>
      <c r="G287" s="21"/>
    </row>
    <row r="288" spans="2:7" s="32" customFormat="1" x14ac:dyDescent="0.25">
      <c r="B288" s="39"/>
      <c r="D288" s="59"/>
      <c r="E288" s="68"/>
      <c r="F288" s="95"/>
      <c r="G288" s="21"/>
    </row>
    <row r="289" spans="2:7" s="32" customFormat="1" x14ac:dyDescent="0.25">
      <c r="B289" s="39"/>
      <c r="D289" s="59"/>
      <c r="E289" s="68"/>
      <c r="F289" s="95"/>
      <c r="G289" s="21"/>
    </row>
    <row r="290" spans="2:7" s="32" customFormat="1" x14ac:dyDescent="0.25">
      <c r="B290" s="39"/>
      <c r="D290" s="59"/>
      <c r="E290" s="68"/>
      <c r="F290" s="95"/>
      <c r="G290" s="21"/>
    </row>
    <row r="291" spans="2:7" s="32" customFormat="1" x14ac:dyDescent="0.25">
      <c r="B291" s="39"/>
      <c r="D291" s="59"/>
      <c r="E291" s="68"/>
      <c r="F291" s="95"/>
      <c r="G291" s="21"/>
    </row>
    <row r="292" spans="2:7" s="32" customFormat="1" x14ac:dyDescent="0.25">
      <c r="B292" s="39"/>
      <c r="D292" s="59"/>
      <c r="E292" s="68"/>
      <c r="F292" s="95"/>
      <c r="G292" s="21"/>
    </row>
    <row r="293" spans="2:7" s="32" customFormat="1" x14ac:dyDescent="0.25">
      <c r="B293" s="39"/>
      <c r="D293" s="59"/>
      <c r="E293" s="68"/>
      <c r="F293" s="95"/>
      <c r="G293" s="21"/>
    </row>
    <row r="294" spans="2:7" s="32" customFormat="1" x14ac:dyDescent="0.25">
      <c r="B294" s="39"/>
      <c r="D294" s="59"/>
      <c r="E294" s="68"/>
      <c r="F294" s="95"/>
      <c r="G294" s="21"/>
    </row>
    <row r="295" spans="2:7" s="32" customFormat="1" x14ac:dyDescent="0.25">
      <c r="B295" s="39"/>
      <c r="D295" s="59"/>
      <c r="E295" s="68"/>
      <c r="F295" s="95"/>
      <c r="G295" s="21"/>
    </row>
    <row r="296" spans="2:7" s="32" customFormat="1" x14ac:dyDescent="0.25">
      <c r="B296" s="39"/>
      <c r="D296" s="59"/>
      <c r="E296" s="68"/>
      <c r="F296" s="95"/>
      <c r="G296" s="21"/>
    </row>
    <row r="297" spans="2:7" s="32" customFormat="1" x14ac:dyDescent="0.25">
      <c r="B297" s="39"/>
      <c r="D297" s="59"/>
      <c r="E297" s="68"/>
      <c r="F297" s="95"/>
      <c r="G297" s="21"/>
    </row>
    <row r="298" spans="2:7" s="32" customFormat="1" x14ac:dyDescent="0.25">
      <c r="B298" s="39"/>
      <c r="D298" s="59"/>
      <c r="E298" s="68"/>
      <c r="F298" s="95"/>
      <c r="G298" s="21"/>
    </row>
    <row r="299" spans="2:7" s="32" customFormat="1" x14ac:dyDescent="0.25">
      <c r="B299" s="39"/>
      <c r="D299" s="59"/>
      <c r="E299" s="68"/>
      <c r="F299" s="95"/>
      <c r="G299" s="21"/>
    </row>
    <row r="300" spans="2:7" s="32" customFormat="1" x14ac:dyDescent="0.25">
      <c r="B300" s="39"/>
      <c r="D300" s="59"/>
      <c r="E300" s="68"/>
      <c r="F300" s="95"/>
      <c r="G300" s="21"/>
    </row>
    <row r="301" spans="2:7" s="32" customFormat="1" x14ac:dyDescent="0.25">
      <c r="B301" s="39"/>
      <c r="D301" s="59"/>
      <c r="E301" s="68"/>
      <c r="F301" s="95"/>
      <c r="G301" s="21"/>
    </row>
    <row r="302" spans="2:7" s="32" customFormat="1" x14ac:dyDescent="0.25">
      <c r="B302" s="39"/>
      <c r="D302" s="59"/>
      <c r="E302" s="68"/>
      <c r="F302" s="95"/>
      <c r="G302" s="21"/>
    </row>
    <row r="303" spans="2:7" s="32" customFormat="1" x14ac:dyDescent="0.25">
      <c r="B303" s="39"/>
      <c r="D303" s="59"/>
      <c r="E303" s="68"/>
      <c r="F303" s="95"/>
      <c r="G303" s="21"/>
    </row>
    <row r="304" spans="2:7" s="32" customFormat="1" x14ac:dyDescent="0.25">
      <c r="B304" s="39"/>
      <c r="D304" s="59"/>
      <c r="E304" s="68"/>
      <c r="F304" s="95"/>
      <c r="G304" s="21"/>
    </row>
    <row r="305" spans="2:7" s="32" customFormat="1" x14ac:dyDescent="0.25">
      <c r="B305" s="39"/>
      <c r="D305" s="59"/>
      <c r="E305" s="68"/>
      <c r="F305" s="95"/>
      <c r="G305" s="21"/>
    </row>
    <row r="306" spans="2:7" s="32" customFormat="1" x14ac:dyDescent="0.25">
      <c r="B306" s="39"/>
      <c r="D306" s="59"/>
      <c r="E306" s="68"/>
      <c r="F306" s="95"/>
      <c r="G306" s="21"/>
    </row>
    <row r="307" spans="2:7" s="32" customFormat="1" x14ac:dyDescent="0.25">
      <c r="B307" s="39"/>
      <c r="D307" s="59"/>
      <c r="E307" s="68"/>
      <c r="F307" s="95"/>
      <c r="G307" s="21"/>
    </row>
    <row r="308" spans="2:7" s="32" customFormat="1" x14ac:dyDescent="0.25">
      <c r="B308" s="39"/>
      <c r="D308" s="59"/>
      <c r="E308" s="68"/>
      <c r="F308" s="95"/>
      <c r="G308" s="21"/>
    </row>
    <row r="309" spans="2:7" s="32" customFormat="1" x14ac:dyDescent="0.25">
      <c r="B309" s="39"/>
      <c r="D309" s="59"/>
      <c r="E309" s="68"/>
      <c r="F309" s="95"/>
      <c r="G309" s="21"/>
    </row>
    <row r="310" spans="2:7" s="32" customFormat="1" x14ac:dyDescent="0.25">
      <c r="B310" s="39"/>
      <c r="D310" s="59"/>
      <c r="E310" s="68"/>
      <c r="F310" s="95"/>
      <c r="G310" s="21"/>
    </row>
    <row r="311" spans="2:7" s="32" customFormat="1" x14ac:dyDescent="0.25">
      <c r="B311" s="39"/>
      <c r="D311" s="59"/>
      <c r="E311" s="68"/>
      <c r="F311" s="95"/>
      <c r="G311" s="21"/>
    </row>
    <row r="312" spans="2:7" s="32" customFormat="1" x14ac:dyDescent="0.25">
      <c r="B312" s="39"/>
      <c r="D312" s="59"/>
      <c r="E312" s="68"/>
      <c r="F312" s="95"/>
      <c r="G312" s="21"/>
    </row>
    <row r="313" spans="2:7" s="32" customFormat="1" x14ac:dyDescent="0.25">
      <c r="B313" s="39"/>
      <c r="D313" s="59"/>
      <c r="E313" s="68"/>
      <c r="F313" s="95"/>
      <c r="G313" s="21"/>
    </row>
    <row r="314" spans="2:7" s="32" customFormat="1" x14ac:dyDescent="0.25">
      <c r="B314" s="39"/>
      <c r="D314" s="59"/>
      <c r="E314" s="68"/>
      <c r="F314" s="95"/>
      <c r="G314" s="21"/>
    </row>
    <row r="315" spans="2:7" s="32" customFormat="1" x14ac:dyDescent="0.25">
      <c r="B315" s="39"/>
      <c r="D315" s="59"/>
      <c r="E315" s="68"/>
      <c r="F315" s="95"/>
      <c r="G315" s="21"/>
    </row>
    <row r="316" spans="2:7" s="32" customFormat="1" x14ac:dyDescent="0.25">
      <c r="B316" s="39"/>
      <c r="D316" s="59"/>
      <c r="E316" s="68"/>
      <c r="F316" s="95"/>
      <c r="G316" s="21"/>
    </row>
    <row r="317" spans="2:7" s="32" customFormat="1" x14ac:dyDescent="0.25">
      <c r="B317" s="39"/>
      <c r="D317" s="59"/>
      <c r="E317" s="68"/>
      <c r="F317" s="95"/>
      <c r="G317" s="21"/>
    </row>
    <row r="318" spans="2:7" s="32" customFormat="1" x14ac:dyDescent="0.25">
      <c r="B318" s="39"/>
      <c r="D318" s="59"/>
      <c r="E318" s="68"/>
      <c r="F318" s="95"/>
      <c r="G318" s="21"/>
    </row>
    <row r="319" spans="2:7" s="32" customFormat="1" x14ac:dyDescent="0.25">
      <c r="B319" s="39"/>
      <c r="D319" s="59"/>
      <c r="E319" s="68"/>
      <c r="F319" s="95"/>
      <c r="G319" s="21"/>
    </row>
    <row r="320" spans="2:7" s="32" customFormat="1" x14ac:dyDescent="0.25">
      <c r="B320" s="39"/>
      <c r="D320" s="59"/>
      <c r="E320" s="68"/>
      <c r="F320" s="95"/>
      <c r="G320" s="21"/>
    </row>
    <row r="321" spans="2:7" s="32" customFormat="1" x14ac:dyDescent="0.25">
      <c r="B321" s="39"/>
      <c r="D321" s="59"/>
      <c r="E321" s="68"/>
      <c r="F321" s="95"/>
      <c r="G321" s="21"/>
    </row>
    <row r="322" spans="2:7" s="32" customFormat="1" x14ac:dyDescent="0.25">
      <c r="B322" s="39"/>
      <c r="D322" s="59"/>
      <c r="E322" s="68"/>
      <c r="F322" s="95"/>
      <c r="G322" s="21"/>
    </row>
    <row r="323" spans="2:7" s="32" customFormat="1" x14ac:dyDescent="0.25">
      <c r="B323" s="39"/>
      <c r="D323" s="59"/>
      <c r="E323" s="68"/>
      <c r="F323" s="95"/>
      <c r="G323" s="21"/>
    </row>
    <row r="324" spans="2:7" s="32" customFormat="1" x14ac:dyDescent="0.25">
      <c r="B324" s="39"/>
      <c r="D324" s="59"/>
      <c r="E324" s="68"/>
      <c r="F324" s="95"/>
      <c r="G324" s="21"/>
    </row>
    <row r="325" spans="2:7" s="32" customFormat="1" x14ac:dyDescent="0.25">
      <c r="B325" s="39"/>
      <c r="D325" s="59"/>
      <c r="E325" s="68"/>
      <c r="F325" s="95"/>
      <c r="G325" s="21"/>
    </row>
    <row r="326" spans="2:7" s="32" customFormat="1" x14ac:dyDescent="0.25">
      <c r="B326" s="39"/>
      <c r="D326" s="59"/>
      <c r="E326" s="68"/>
      <c r="F326" s="95"/>
      <c r="G326" s="21"/>
    </row>
    <row r="327" spans="2:7" s="32" customFormat="1" x14ac:dyDescent="0.25">
      <c r="B327" s="39"/>
      <c r="D327" s="59"/>
      <c r="E327" s="68"/>
      <c r="F327" s="95"/>
      <c r="G327" s="21"/>
    </row>
    <row r="328" spans="2:7" s="32" customFormat="1" x14ac:dyDescent="0.25">
      <c r="B328" s="39"/>
      <c r="D328" s="59"/>
      <c r="E328" s="68"/>
      <c r="F328" s="95"/>
      <c r="G328" s="21"/>
    </row>
    <row r="329" spans="2:7" s="32" customFormat="1" x14ac:dyDescent="0.25">
      <c r="B329" s="39"/>
      <c r="D329" s="59"/>
      <c r="E329" s="68"/>
      <c r="F329" s="95"/>
      <c r="G329" s="21"/>
    </row>
    <row r="330" spans="2:7" s="32" customFormat="1" x14ac:dyDescent="0.25">
      <c r="B330" s="39"/>
      <c r="D330" s="59"/>
      <c r="E330" s="68"/>
      <c r="F330" s="95"/>
      <c r="G330" s="21"/>
    </row>
    <row r="331" spans="2:7" s="32" customFormat="1" x14ac:dyDescent="0.25">
      <c r="B331" s="39"/>
      <c r="D331" s="59"/>
      <c r="E331" s="68"/>
      <c r="F331" s="95"/>
      <c r="G331" s="21"/>
    </row>
    <row r="332" spans="2:7" s="32" customFormat="1" x14ac:dyDescent="0.25">
      <c r="B332" s="39"/>
      <c r="D332" s="59"/>
      <c r="E332" s="68"/>
      <c r="F332" s="95"/>
      <c r="G332" s="21"/>
    </row>
    <row r="333" spans="2:7" s="32" customFormat="1" x14ac:dyDescent="0.25">
      <c r="B333" s="39"/>
      <c r="D333" s="59"/>
      <c r="E333" s="68"/>
      <c r="F333" s="95"/>
      <c r="G333" s="21"/>
    </row>
    <row r="334" spans="2:7" s="32" customFormat="1" x14ac:dyDescent="0.25">
      <c r="B334" s="39"/>
      <c r="D334" s="59"/>
      <c r="E334" s="68"/>
      <c r="F334" s="95"/>
      <c r="G334" s="21"/>
    </row>
    <row r="335" spans="2:7" s="32" customFormat="1" x14ac:dyDescent="0.25">
      <c r="B335" s="39"/>
      <c r="D335" s="59"/>
      <c r="E335" s="68"/>
      <c r="F335" s="95"/>
      <c r="G335" s="21"/>
    </row>
    <row r="336" spans="2:7" s="32" customFormat="1" x14ac:dyDescent="0.25">
      <c r="B336" s="39"/>
      <c r="D336" s="59"/>
      <c r="E336" s="68"/>
      <c r="F336" s="95"/>
      <c r="G336" s="21"/>
    </row>
    <row r="337" spans="2:7" s="32" customFormat="1" x14ac:dyDescent="0.25">
      <c r="B337" s="39"/>
      <c r="D337" s="59"/>
      <c r="E337" s="68"/>
      <c r="F337" s="95"/>
      <c r="G337" s="21"/>
    </row>
    <row r="338" spans="2:7" s="32" customFormat="1" x14ac:dyDescent="0.25">
      <c r="B338" s="39"/>
      <c r="D338" s="59"/>
      <c r="E338" s="68"/>
      <c r="F338" s="95"/>
      <c r="G338" s="21"/>
    </row>
    <row r="339" spans="2:7" s="32" customFormat="1" x14ac:dyDescent="0.25">
      <c r="B339" s="39"/>
      <c r="D339" s="59"/>
      <c r="E339" s="68"/>
      <c r="F339" s="95"/>
      <c r="G339" s="21"/>
    </row>
    <row r="340" spans="2:7" s="32" customFormat="1" x14ac:dyDescent="0.25">
      <c r="B340" s="39"/>
      <c r="D340" s="59"/>
      <c r="E340" s="68"/>
      <c r="F340" s="95"/>
      <c r="G340" s="21"/>
    </row>
    <row r="341" spans="2:7" s="32" customFormat="1" x14ac:dyDescent="0.25">
      <c r="B341" s="39"/>
      <c r="D341" s="59"/>
      <c r="E341" s="68"/>
      <c r="F341" s="95"/>
      <c r="G341" s="21"/>
    </row>
    <row r="342" spans="2:7" s="32" customFormat="1" x14ac:dyDescent="0.25">
      <c r="B342" s="39"/>
      <c r="D342" s="59"/>
      <c r="E342" s="68"/>
      <c r="F342" s="95"/>
      <c r="G342" s="21"/>
    </row>
    <row r="343" spans="2:7" s="32" customFormat="1" x14ac:dyDescent="0.25">
      <c r="B343" s="39"/>
      <c r="D343" s="59"/>
      <c r="E343" s="68"/>
      <c r="F343" s="95"/>
      <c r="G343" s="21"/>
    </row>
    <row r="344" spans="2:7" s="32" customFormat="1" x14ac:dyDescent="0.25">
      <c r="B344" s="39"/>
      <c r="D344" s="59"/>
      <c r="E344" s="68"/>
      <c r="F344" s="95"/>
      <c r="G344" s="21"/>
    </row>
    <row r="345" spans="2:7" s="32" customFormat="1" x14ac:dyDescent="0.25">
      <c r="B345" s="39"/>
      <c r="D345" s="59"/>
      <c r="E345" s="68"/>
      <c r="F345" s="95"/>
      <c r="G345" s="21"/>
    </row>
    <row r="346" spans="2:7" s="32" customFormat="1" x14ac:dyDescent="0.25">
      <c r="B346" s="39"/>
      <c r="D346" s="59"/>
      <c r="E346" s="68"/>
      <c r="F346" s="95"/>
      <c r="G346" s="21"/>
    </row>
    <row r="347" spans="2:7" s="32" customFormat="1" x14ac:dyDescent="0.25">
      <c r="B347" s="39"/>
      <c r="D347" s="59"/>
      <c r="E347" s="68"/>
      <c r="F347" s="95"/>
      <c r="G347" s="21"/>
    </row>
    <row r="348" spans="2:7" s="32" customFormat="1" x14ac:dyDescent="0.25">
      <c r="B348" s="39"/>
      <c r="D348" s="59"/>
      <c r="E348" s="68"/>
      <c r="F348" s="95"/>
      <c r="G348" s="21"/>
    </row>
    <row r="349" spans="2:7" s="32" customFormat="1" x14ac:dyDescent="0.25">
      <c r="B349" s="39"/>
      <c r="D349" s="59"/>
      <c r="E349" s="68"/>
      <c r="F349" s="95"/>
      <c r="G349" s="21"/>
    </row>
    <row r="350" spans="2:7" s="32" customFormat="1" x14ac:dyDescent="0.25">
      <c r="B350" s="39"/>
      <c r="D350" s="59"/>
      <c r="E350" s="68"/>
      <c r="F350" s="95"/>
      <c r="G350" s="21"/>
    </row>
    <row r="351" spans="2:7" s="32" customFormat="1" x14ac:dyDescent="0.25">
      <c r="B351" s="39"/>
      <c r="D351" s="59"/>
      <c r="E351" s="68"/>
      <c r="F351" s="95"/>
      <c r="G351" s="21"/>
    </row>
    <row r="352" spans="2:7" s="32" customFormat="1" x14ac:dyDescent="0.25">
      <c r="B352" s="39"/>
      <c r="D352" s="59"/>
      <c r="E352" s="68"/>
      <c r="F352" s="95"/>
      <c r="G352" s="21"/>
    </row>
    <row r="353" spans="2:7" s="32" customFormat="1" x14ac:dyDescent="0.25">
      <c r="B353" s="39"/>
      <c r="D353" s="59"/>
      <c r="E353" s="68"/>
      <c r="F353" s="95"/>
      <c r="G353" s="21"/>
    </row>
    <row r="354" spans="2:7" s="32" customFormat="1" x14ac:dyDescent="0.25">
      <c r="B354" s="39"/>
      <c r="D354" s="59"/>
      <c r="E354" s="68"/>
      <c r="F354" s="95"/>
      <c r="G354" s="21"/>
    </row>
    <row r="355" spans="2:7" s="32" customFormat="1" x14ac:dyDescent="0.25">
      <c r="B355" s="39"/>
      <c r="D355" s="59"/>
      <c r="E355" s="68"/>
      <c r="F355" s="95"/>
      <c r="G355" s="21"/>
    </row>
    <row r="356" spans="2:7" s="32" customFormat="1" x14ac:dyDescent="0.25">
      <c r="B356" s="39"/>
      <c r="D356" s="59"/>
      <c r="E356" s="68"/>
      <c r="F356" s="95"/>
      <c r="G356" s="21"/>
    </row>
    <row r="357" spans="2:7" s="32" customFormat="1" x14ac:dyDescent="0.25">
      <c r="B357" s="39"/>
      <c r="D357" s="59"/>
      <c r="E357" s="68"/>
      <c r="F357" s="95"/>
      <c r="G357" s="21"/>
    </row>
    <row r="358" spans="2:7" s="32" customFormat="1" x14ac:dyDescent="0.25">
      <c r="B358" s="39"/>
      <c r="D358" s="59"/>
      <c r="E358" s="68"/>
      <c r="F358" s="95"/>
      <c r="G358" s="21"/>
    </row>
    <row r="359" spans="2:7" s="32" customFormat="1" x14ac:dyDescent="0.25">
      <c r="B359" s="39"/>
      <c r="D359" s="59"/>
      <c r="E359" s="68"/>
      <c r="F359" s="95"/>
      <c r="G359" s="21"/>
    </row>
    <row r="360" spans="2:7" s="32" customFormat="1" x14ac:dyDescent="0.25">
      <c r="B360" s="39"/>
      <c r="D360" s="59"/>
      <c r="E360" s="68"/>
      <c r="F360" s="95"/>
      <c r="G360" s="21"/>
    </row>
    <row r="361" spans="2:7" s="32" customFormat="1" x14ac:dyDescent="0.25">
      <c r="B361" s="39"/>
      <c r="D361" s="59"/>
      <c r="E361" s="68"/>
      <c r="F361" s="95"/>
      <c r="G361" s="21"/>
    </row>
    <row r="362" spans="2:7" s="32" customFormat="1" x14ac:dyDescent="0.25">
      <c r="B362" s="39"/>
      <c r="D362" s="59"/>
      <c r="E362" s="68"/>
      <c r="F362" s="95"/>
      <c r="G362" s="21"/>
    </row>
    <row r="363" spans="2:7" s="32" customFormat="1" x14ac:dyDescent="0.25">
      <c r="B363" s="39"/>
      <c r="D363" s="59"/>
      <c r="E363" s="68"/>
      <c r="F363" s="95"/>
      <c r="G363" s="21"/>
    </row>
    <row r="364" spans="2:7" s="32" customFormat="1" x14ac:dyDescent="0.25">
      <c r="B364" s="39"/>
      <c r="D364" s="59"/>
      <c r="E364" s="68"/>
      <c r="F364" s="95"/>
      <c r="G364" s="21"/>
    </row>
    <row r="365" spans="2:7" s="32" customFormat="1" x14ac:dyDescent="0.25">
      <c r="B365" s="39"/>
      <c r="D365" s="59"/>
      <c r="E365" s="68"/>
      <c r="F365" s="95"/>
      <c r="G365" s="21"/>
    </row>
    <row r="366" spans="2:7" s="32" customFormat="1" x14ac:dyDescent="0.25">
      <c r="B366" s="39"/>
      <c r="D366" s="59"/>
      <c r="E366" s="68"/>
      <c r="F366" s="95"/>
      <c r="G366" s="21"/>
    </row>
    <row r="367" spans="2:7" s="32" customFormat="1" x14ac:dyDescent="0.25">
      <c r="B367" s="39"/>
      <c r="D367" s="59"/>
      <c r="E367" s="68"/>
      <c r="F367" s="95"/>
      <c r="G367" s="21"/>
    </row>
    <row r="368" spans="2:7" s="32" customFormat="1" x14ac:dyDescent="0.25">
      <c r="B368" s="39"/>
      <c r="D368" s="59"/>
      <c r="E368" s="68"/>
      <c r="F368" s="95"/>
      <c r="G368" s="21"/>
    </row>
    <row r="369" spans="2:7" s="32" customFormat="1" x14ac:dyDescent="0.25">
      <c r="B369" s="39"/>
      <c r="D369" s="59"/>
      <c r="E369" s="68"/>
      <c r="F369" s="95"/>
      <c r="G369" s="21"/>
    </row>
    <row r="370" spans="2:7" s="32" customFormat="1" x14ac:dyDescent="0.25">
      <c r="B370" s="39"/>
      <c r="D370" s="59"/>
      <c r="E370" s="68"/>
      <c r="F370" s="95"/>
      <c r="G370" s="21"/>
    </row>
    <row r="371" spans="2:7" s="32" customFormat="1" x14ac:dyDescent="0.25">
      <c r="B371" s="39"/>
      <c r="D371" s="59"/>
      <c r="E371" s="68"/>
      <c r="F371" s="95"/>
      <c r="G371" s="21"/>
    </row>
    <row r="372" spans="2:7" s="32" customFormat="1" x14ac:dyDescent="0.25">
      <c r="B372" s="39"/>
      <c r="D372" s="59"/>
      <c r="E372" s="68"/>
      <c r="F372" s="95"/>
      <c r="G372" s="21"/>
    </row>
    <row r="373" spans="2:7" s="32" customFormat="1" x14ac:dyDescent="0.25">
      <c r="B373" s="39"/>
      <c r="D373" s="59"/>
      <c r="E373" s="68"/>
      <c r="F373" s="95"/>
      <c r="G373" s="21"/>
    </row>
    <row r="374" spans="2:7" s="32" customFormat="1" x14ac:dyDescent="0.25">
      <c r="B374" s="39"/>
      <c r="D374" s="59"/>
      <c r="E374" s="68"/>
      <c r="F374" s="95"/>
      <c r="G374" s="21"/>
    </row>
    <row r="375" spans="2:7" s="32" customFormat="1" x14ac:dyDescent="0.25">
      <c r="B375" s="39"/>
      <c r="D375" s="59"/>
      <c r="E375" s="68"/>
      <c r="F375" s="95"/>
      <c r="G375" s="21"/>
    </row>
    <row r="376" spans="2:7" s="32" customFormat="1" x14ac:dyDescent="0.25">
      <c r="B376" s="39"/>
      <c r="D376" s="59"/>
      <c r="E376" s="68"/>
      <c r="F376" s="95"/>
      <c r="G376" s="21"/>
    </row>
    <row r="377" spans="2:7" s="32" customFormat="1" x14ac:dyDescent="0.25">
      <c r="B377" s="39"/>
      <c r="D377" s="59"/>
      <c r="E377" s="68"/>
      <c r="F377" s="95"/>
      <c r="G377" s="21"/>
    </row>
    <row r="378" spans="2:7" s="32" customFormat="1" x14ac:dyDescent="0.25">
      <c r="B378" s="39"/>
      <c r="D378" s="59"/>
      <c r="E378" s="68"/>
      <c r="F378" s="95"/>
      <c r="G378" s="21"/>
    </row>
    <row r="379" spans="2:7" s="32" customFormat="1" x14ac:dyDescent="0.25">
      <c r="B379" s="39"/>
      <c r="D379" s="59"/>
      <c r="E379" s="68"/>
      <c r="F379" s="95"/>
      <c r="G379" s="21"/>
    </row>
    <row r="380" spans="2:7" s="32" customFormat="1" x14ac:dyDescent="0.25">
      <c r="B380" s="39"/>
      <c r="D380" s="59"/>
      <c r="E380" s="68"/>
      <c r="F380" s="95"/>
      <c r="G380" s="21"/>
    </row>
    <row r="381" spans="2:7" s="32" customFormat="1" x14ac:dyDescent="0.25">
      <c r="B381" s="39"/>
      <c r="D381" s="59"/>
      <c r="E381" s="68"/>
      <c r="F381" s="95"/>
      <c r="G381" s="21"/>
    </row>
    <row r="382" spans="2:7" s="32" customFormat="1" x14ac:dyDescent="0.25">
      <c r="B382" s="39"/>
      <c r="D382" s="59"/>
      <c r="E382" s="68"/>
      <c r="F382" s="95"/>
      <c r="G382" s="21"/>
    </row>
    <row r="383" spans="2:7" s="32" customFormat="1" x14ac:dyDescent="0.25">
      <c r="B383" s="39"/>
      <c r="D383" s="59"/>
      <c r="E383" s="68"/>
      <c r="F383" s="95"/>
      <c r="G383" s="21"/>
    </row>
    <row r="384" spans="2:7" s="32" customFormat="1" x14ac:dyDescent="0.25">
      <c r="B384" s="39"/>
      <c r="D384" s="59"/>
      <c r="E384" s="68"/>
      <c r="F384" s="95"/>
      <c r="G384" s="21"/>
    </row>
    <row r="385" spans="2:7" s="32" customFormat="1" x14ac:dyDescent="0.25">
      <c r="B385" s="39"/>
      <c r="D385" s="59"/>
      <c r="E385" s="68"/>
      <c r="F385" s="95"/>
      <c r="G385" s="21"/>
    </row>
    <row r="386" spans="2:7" s="32" customFormat="1" x14ac:dyDescent="0.25">
      <c r="B386" s="39"/>
      <c r="D386" s="59"/>
      <c r="E386" s="68"/>
      <c r="F386" s="95"/>
      <c r="G386" s="21"/>
    </row>
    <row r="387" spans="2:7" s="32" customFormat="1" x14ac:dyDescent="0.25">
      <c r="B387" s="39"/>
      <c r="D387" s="59"/>
      <c r="E387" s="68"/>
      <c r="F387" s="95"/>
      <c r="G387" s="21"/>
    </row>
    <row r="388" spans="2:7" s="32" customFormat="1" x14ac:dyDescent="0.25">
      <c r="B388" s="39"/>
      <c r="D388" s="59"/>
      <c r="E388" s="68"/>
      <c r="F388" s="95"/>
      <c r="G388" s="21"/>
    </row>
    <row r="389" spans="2:7" s="32" customFormat="1" x14ac:dyDescent="0.25">
      <c r="B389" s="39"/>
      <c r="D389" s="59"/>
      <c r="E389" s="68"/>
      <c r="F389" s="95"/>
      <c r="G389" s="21"/>
    </row>
    <row r="390" spans="2:7" s="32" customFormat="1" x14ac:dyDescent="0.25">
      <c r="B390" s="39"/>
      <c r="D390" s="59"/>
      <c r="E390" s="68"/>
      <c r="F390" s="95"/>
      <c r="G390" s="21"/>
    </row>
    <row r="391" spans="2:7" s="32" customFormat="1" x14ac:dyDescent="0.25">
      <c r="B391" s="39"/>
      <c r="D391" s="59"/>
      <c r="E391" s="68"/>
      <c r="F391" s="95"/>
      <c r="G391" s="21"/>
    </row>
    <row r="392" spans="2:7" s="32" customFormat="1" x14ac:dyDescent="0.25">
      <c r="B392" s="39"/>
      <c r="D392" s="59"/>
      <c r="E392" s="68"/>
      <c r="F392" s="95"/>
      <c r="G392" s="21"/>
    </row>
    <row r="393" spans="2:7" s="32" customFormat="1" x14ac:dyDescent="0.25">
      <c r="B393" s="39"/>
      <c r="D393" s="59"/>
      <c r="E393" s="68"/>
      <c r="F393" s="95"/>
      <c r="G393" s="21"/>
    </row>
    <row r="394" spans="2:7" s="32" customFormat="1" x14ac:dyDescent="0.25">
      <c r="B394" s="39"/>
      <c r="D394" s="59"/>
      <c r="E394" s="68"/>
      <c r="F394" s="95"/>
      <c r="G394" s="21"/>
    </row>
    <row r="395" spans="2:7" s="32" customFormat="1" x14ac:dyDescent="0.25">
      <c r="B395" s="39"/>
      <c r="D395" s="59"/>
      <c r="E395" s="68"/>
      <c r="F395" s="95"/>
      <c r="G395" s="21"/>
    </row>
    <row r="396" spans="2:7" s="32" customFormat="1" x14ac:dyDescent="0.25">
      <c r="B396" s="39"/>
      <c r="D396" s="59"/>
      <c r="E396" s="68"/>
      <c r="F396" s="95"/>
      <c r="G396" s="21"/>
    </row>
    <row r="397" spans="2:7" s="32" customFormat="1" x14ac:dyDescent="0.25">
      <c r="B397" s="39"/>
      <c r="D397" s="59"/>
      <c r="E397" s="68"/>
      <c r="F397" s="95"/>
      <c r="G397" s="21"/>
    </row>
    <row r="398" spans="2:7" s="32" customFormat="1" x14ac:dyDescent="0.25">
      <c r="B398" s="39"/>
      <c r="D398" s="59"/>
      <c r="E398" s="68"/>
      <c r="F398" s="95"/>
      <c r="G398" s="21"/>
    </row>
    <row r="399" spans="2:7" s="32" customFormat="1" x14ac:dyDescent="0.25">
      <c r="B399" s="39"/>
      <c r="D399" s="59"/>
      <c r="E399" s="68"/>
      <c r="F399" s="95"/>
      <c r="G399" s="21"/>
    </row>
    <row r="400" spans="2:7" s="32" customFormat="1" x14ac:dyDescent="0.25">
      <c r="B400" s="39"/>
      <c r="D400" s="59"/>
      <c r="E400" s="68"/>
      <c r="F400" s="95"/>
      <c r="G400" s="21"/>
    </row>
    <row r="401" spans="2:7" s="32" customFormat="1" x14ac:dyDescent="0.25">
      <c r="B401" s="39"/>
      <c r="D401" s="59"/>
      <c r="E401" s="68"/>
      <c r="F401" s="95"/>
      <c r="G401" s="21"/>
    </row>
    <row r="402" spans="2:7" s="32" customFormat="1" x14ac:dyDescent="0.25">
      <c r="B402" s="39"/>
      <c r="D402" s="59"/>
      <c r="E402" s="68"/>
      <c r="F402" s="95"/>
      <c r="G402" s="21"/>
    </row>
    <row r="403" spans="2:7" s="32" customFormat="1" x14ac:dyDescent="0.25">
      <c r="B403" s="39"/>
      <c r="D403" s="59"/>
      <c r="E403" s="68"/>
      <c r="F403" s="95"/>
      <c r="G403" s="21"/>
    </row>
    <row r="404" spans="2:7" s="32" customFormat="1" x14ac:dyDescent="0.25">
      <c r="B404" s="39"/>
      <c r="D404" s="59"/>
      <c r="E404" s="68"/>
      <c r="F404" s="95"/>
      <c r="G404" s="21"/>
    </row>
    <row r="405" spans="2:7" s="32" customFormat="1" x14ac:dyDescent="0.25">
      <c r="B405" s="39"/>
      <c r="D405" s="59"/>
      <c r="E405" s="68"/>
      <c r="F405" s="95"/>
      <c r="G405" s="21"/>
    </row>
    <row r="406" spans="2:7" s="32" customFormat="1" x14ac:dyDescent="0.25">
      <c r="B406" s="39"/>
      <c r="D406" s="59"/>
      <c r="E406" s="68"/>
      <c r="F406" s="95"/>
      <c r="G406" s="21"/>
    </row>
    <row r="407" spans="2:7" s="32" customFormat="1" x14ac:dyDescent="0.25">
      <c r="B407" s="39"/>
      <c r="D407" s="59"/>
      <c r="E407" s="68"/>
      <c r="F407" s="95"/>
      <c r="G407" s="21"/>
    </row>
    <row r="408" spans="2:7" s="32" customFormat="1" x14ac:dyDescent="0.25">
      <c r="B408" s="39"/>
      <c r="D408" s="59"/>
      <c r="E408" s="68"/>
      <c r="F408" s="95"/>
      <c r="G408" s="21"/>
    </row>
    <row r="409" spans="2:7" s="32" customFormat="1" x14ac:dyDescent="0.25">
      <c r="B409" s="39"/>
      <c r="D409" s="59"/>
      <c r="E409" s="68"/>
      <c r="F409" s="95"/>
      <c r="G409" s="21"/>
    </row>
    <row r="410" spans="2:7" s="32" customFormat="1" x14ac:dyDescent="0.25">
      <c r="B410" s="39"/>
      <c r="D410" s="59"/>
      <c r="E410" s="68"/>
      <c r="F410" s="95"/>
      <c r="G410" s="21"/>
    </row>
    <row r="411" spans="2:7" s="32" customFormat="1" x14ac:dyDescent="0.25">
      <c r="B411" s="39"/>
      <c r="D411" s="59"/>
      <c r="E411" s="68"/>
      <c r="F411" s="95"/>
      <c r="G411" s="21"/>
    </row>
    <row r="412" spans="2:7" s="32" customFormat="1" x14ac:dyDescent="0.25">
      <c r="B412" s="39"/>
      <c r="D412" s="59"/>
      <c r="E412" s="68"/>
      <c r="F412" s="95"/>
      <c r="G412" s="21"/>
    </row>
    <row r="413" spans="2:7" s="32" customFormat="1" x14ac:dyDescent="0.25">
      <c r="B413" s="39"/>
      <c r="D413" s="59"/>
      <c r="E413" s="68"/>
      <c r="F413" s="95"/>
      <c r="G413" s="21"/>
    </row>
    <row r="414" spans="2:7" s="32" customFormat="1" x14ac:dyDescent="0.25">
      <c r="B414" s="39"/>
      <c r="D414" s="59"/>
      <c r="E414" s="68"/>
      <c r="F414" s="95"/>
      <c r="G414" s="21"/>
    </row>
    <row r="415" spans="2:7" s="32" customFormat="1" x14ac:dyDescent="0.25">
      <c r="B415" s="39"/>
      <c r="D415" s="59"/>
      <c r="E415" s="68"/>
      <c r="F415" s="95"/>
      <c r="G415" s="21"/>
    </row>
    <row r="416" spans="2:7" s="32" customFormat="1" x14ac:dyDescent="0.25">
      <c r="B416" s="39"/>
      <c r="D416" s="59"/>
      <c r="E416" s="68"/>
      <c r="F416" s="95"/>
      <c r="G416" s="21"/>
    </row>
    <row r="417" spans="2:7" s="32" customFormat="1" x14ac:dyDescent="0.25">
      <c r="B417" s="39"/>
      <c r="D417" s="59"/>
      <c r="E417" s="68"/>
      <c r="F417" s="95"/>
      <c r="G417" s="21"/>
    </row>
    <row r="418" spans="2:7" s="32" customFormat="1" x14ac:dyDescent="0.25">
      <c r="B418" s="39"/>
      <c r="D418" s="59"/>
      <c r="E418" s="68"/>
      <c r="F418" s="95"/>
      <c r="G418" s="21"/>
    </row>
    <row r="419" spans="2:7" s="32" customFormat="1" x14ac:dyDescent="0.25">
      <c r="B419" s="39"/>
      <c r="D419" s="59"/>
      <c r="E419" s="68"/>
      <c r="F419" s="95"/>
      <c r="G419" s="21"/>
    </row>
    <row r="420" spans="2:7" s="32" customFormat="1" x14ac:dyDescent="0.25">
      <c r="B420" s="39"/>
      <c r="D420" s="59"/>
      <c r="E420" s="68"/>
      <c r="F420" s="95"/>
      <c r="G420" s="21"/>
    </row>
    <row r="421" spans="2:7" s="32" customFormat="1" x14ac:dyDescent="0.25">
      <c r="B421" s="39"/>
      <c r="D421" s="59"/>
      <c r="E421" s="68"/>
      <c r="F421" s="95"/>
      <c r="G421" s="21"/>
    </row>
    <row r="422" spans="2:7" s="32" customFormat="1" x14ac:dyDescent="0.25">
      <c r="B422" s="39"/>
      <c r="D422" s="59"/>
      <c r="E422" s="68"/>
      <c r="F422" s="95"/>
      <c r="G422" s="21"/>
    </row>
    <row r="423" spans="2:7" s="32" customFormat="1" x14ac:dyDescent="0.25">
      <c r="B423" s="39"/>
      <c r="D423" s="59"/>
      <c r="E423" s="68"/>
      <c r="F423" s="95"/>
      <c r="G423" s="21"/>
    </row>
    <row r="424" spans="2:7" s="32" customFormat="1" x14ac:dyDescent="0.25">
      <c r="B424" s="39"/>
      <c r="D424" s="59"/>
      <c r="E424" s="68"/>
      <c r="F424" s="95"/>
      <c r="G424" s="21"/>
    </row>
    <row r="425" spans="2:7" s="32" customFormat="1" x14ac:dyDescent="0.25">
      <c r="B425" s="39"/>
      <c r="D425" s="59"/>
      <c r="E425" s="68"/>
      <c r="F425" s="95"/>
      <c r="G425" s="21"/>
    </row>
    <row r="426" spans="2:7" s="32" customFormat="1" x14ac:dyDescent="0.25">
      <c r="B426" s="39"/>
      <c r="D426" s="59"/>
      <c r="E426" s="68"/>
      <c r="F426" s="95"/>
      <c r="G426" s="21"/>
    </row>
    <row r="427" spans="2:7" s="32" customFormat="1" x14ac:dyDescent="0.25">
      <c r="B427" s="39"/>
      <c r="D427" s="59"/>
      <c r="E427" s="68"/>
      <c r="F427" s="95"/>
      <c r="G427" s="21"/>
    </row>
    <row r="428" spans="2:7" s="32" customFormat="1" x14ac:dyDescent="0.25">
      <c r="B428" s="39"/>
      <c r="D428" s="59"/>
      <c r="E428" s="68"/>
      <c r="F428" s="95"/>
      <c r="G428" s="21"/>
    </row>
    <row r="429" spans="2:7" s="32" customFormat="1" x14ac:dyDescent="0.25">
      <c r="B429" s="39"/>
      <c r="D429" s="59"/>
      <c r="E429" s="68"/>
      <c r="F429" s="95"/>
      <c r="G429" s="21"/>
    </row>
    <row r="430" spans="2:7" s="32" customFormat="1" x14ac:dyDescent="0.25">
      <c r="B430" s="39"/>
      <c r="D430" s="59"/>
      <c r="E430" s="68"/>
      <c r="F430" s="95"/>
      <c r="G430" s="21"/>
    </row>
    <row r="431" spans="2:7" s="32" customFormat="1" x14ac:dyDescent="0.25">
      <c r="B431" s="39"/>
      <c r="D431" s="59"/>
      <c r="E431" s="68"/>
      <c r="F431" s="95"/>
      <c r="G431" s="21"/>
    </row>
    <row r="432" spans="2:7" s="32" customFormat="1" x14ac:dyDescent="0.25">
      <c r="B432" s="39"/>
      <c r="D432" s="59"/>
      <c r="E432" s="68"/>
      <c r="F432" s="95"/>
      <c r="G432" s="21"/>
    </row>
    <row r="433" spans="2:7" s="32" customFormat="1" x14ac:dyDescent="0.25">
      <c r="B433" s="39"/>
      <c r="D433" s="59"/>
      <c r="E433" s="68"/>
      <c r="F433" s="95"/>
      <c r="G433" s="21"/>
    </row>
    <row r="434" spans="2:7" s="32" customFormat="1" x14ac:dyDescent="0.25">
      <c r="B434" s="39"/>
      <c r="D434" s="59"/>
      <c r="E434" s="68"/>
      <c r="F434" s="95"/>
      <c r="G434" s="21"/>
    </row>
    <row r="435" spans="2:7" s="32" customFormat="1" x14ac:dyDescent="0.25">
      <c r="B435" s="39"/>
      <c r="D435" s="59"/>
      <c r="E435" s="68"/>
      <c r="F435" s="95"/>
      <c r="G435" s="21"/>
    </row>
    <row r="436" spans="2:7" s="32" customFormat="1" x14ac:dyDescent="0.25">
      <c r="B436" s="39"/>
      <c r="D436" s="59"/>
      <c r="E436" s="68"/>
      <c r="F436" s="95"/>
      <c r="G436" s="21"/>
    </row>
    <row r="437" spans="2:7" s="32" customFormat="1" x14ac:dyDescent="0.25">
      <c r="B437" s="39"/>
      <c r="D437" s="59"/>
      <c r="E437" s="68"/>
      <c r="F437" s="95"/>
      <c r="G437" s="21"/>
    </row>
    <row r="438" spans="2:7" s="32" customFormat="1" x14ac:dyDescent="0.25">
      <c r="B438" s="39"/>
      <c r="D438" s="59"/>
      <c r="E438" s="68"/>
      <c r="F438" s="95"/>
      <c r="G438" s="21"/>
    </row>
    <row r="439" spans="2:7" s="32" customFormat="1" x14ac:dyDescent="0.25">
      <c r="B439" s="39"/>
      <c r="D439" s="59"/>
      <c r="E439" s="68"/>
      <c r="F439" s="95"/>
      <c r="G439" s="21"/>
    </row>
    <row r="440" spans="2:7" s="32" customFormat="1" x14ac:dyDescent="0.25">
      <c r="B440" s="39"/>
      <c r="D440" s="59"/>
      <c r="E440" s="68"/>
      <c r="F440" s="95"/>
      <c r="G440" s="21"/>
    </row>
    <row r="441" spans="2:7" s="32" customFormat="1" x14ac:dyDescent="0.25">
      <c r="B441" s="39"/>
      <c r="D441" s="59"/>
      <c r="E441" s="68"/>
      <c r="F441" s="95"/>
      <c r="G441" s="21"/>
    </row>
    <row r="442" spans="2:7" s="32" customFormat="1" x14ac:dyDescent="0.25">
      <c r="B442" s="39"/>
      <c r="D442" s="59"/>
      <c r="E442" s="68"/>
      <c r="F442" s="95"/>
      <c r="G442" s="21"/>
    </row>
    <row r="443" spans="2:7" s="32" customFormat="1" x14ac:dyDescent="0.25">
      <c r="B443" s="39"/>
      <c r="D443" s="59"/>
      <c r="E443" s="68"/>
      <c r="F443" s="95"/>
      <c r="G443" s="21"/>
    </row>
    <row r="444" spans="2:7" s="32" customFormat="1" x14ac:dyDescent="0.25">
      <c r="B444" s="39"/>
      <c r="D444" s="59"/>
      <c r="E444" s="68"/>
      <c r="F444" s="95"/>
      <c r="G444" s="21"/>
    </row>
    <row r="445" spans="2:7" s="32" customFormat="1" x14ac:dyDescent="0.25">
      <c r="B445" s="39"/>
      <c r="D445" s="59"/>
      <c r="E445" s="68"/>
      <c r="F445" s="95"/>
      <c r="G445" s="21"/>
    </row>
    <row r="446" spans="2:7" s="32" customFormat="1" x14ac:dyDescent="0.25">
      <c r="B446" s="39"/>
      <c r="D446" s="59"/>
      <c r="E446" s="68"/>
      <c r="F446" s="95"/>
      <c r="G446" s="21"/>
    </row>
    <row r="447" spans="2:7" s="32" customFormat="1" x14ac:dyDescent="0.25">
      <c r="B447" s="39"/>
      <c r="D447" s="59"/>
      <c r="E447" s="68"/>
      <c r="F447" s="95"/>
      <c r="G447" s="21"/>
    </row>
    <row r="448" spans="2:7" s="32" customFormat="1" x14ac:dyDescent="0.25">
      <c r="B448" s="39"/>
      <c r="D448" s="59"/>
      <c r="E448" s="68"/>
      <c r="F448" s="95"/>
      <c r="G448" s="21"/>
    </row>
    <row r="449" spans="2:7" s="32" customFormat="1" x14ac:dyDescent="0.25">
      <c r="B449" s="39"/>
      <c r="D449" s="59"/>
      <c r="E449" s="68"/>
      <c r="F449" s="95"/>
      <c r="G449" s="21"/>
    </row>
    <row r="450" spans="2:7" s="32" customFormat="1" x14ac:dyDescent="0.25">
      <c r="B450" s="39"/>
      <c r="D450" s="59"/>
      <c r="E450" s="68"/>
      <c r="F450" s="95"/>
      <c r="G450" s="21"/>
    </row>
    <row r="451" spans="2:7" s="32" customFormat="1" x14ac:dyDescent="0.25">
      <c r="B451" s="39"/>
      <c r="D451" s="59"/>
      <c r="E451" s="68"/>
      <c r="F451" s="95"/>
      <c r="G451" s="21"/>
    </row>
    <row r="452" spans="2:7" s="32" customFormat="1" x14ac:dyDescent="0.25">
      <c r="B452" s="39"/>
      <c r="D452" s="59"/>
      <c r="E452" s="68"/>
      <c r="F452" s="95"/>
      <c r="G452" s="21"/>
    </row>
    <row r="453" spans="2:7" s="32" customFormat="1" x14ac:dyDescent="0.25">
      <c r="B453" s="39"/>
      <c r="D453" s="59"/>
      <c r="E453" s="68"/>
      <c r="F453" s="95"/>
      <c r="G453" s="21"/>
    </row>
    <row r="454" spans="2:7" s="32" customFormat="1" x14ac:dyDescent="0.25">
      <c r="B454" s="39"/>
      <c r="D454" s="59"/>
      <c r="E454" s="68"/>
      <c r="F454" s="95"/>
      <c r="G454" s="21"/>
    </row>
    <row r="455" spans="2:7" s="32" customFormat="1" x14ac:dyDescent="0.25">
      <c r="B455" s="39"/>
      <c r="D455" s="59"/>
      <c r="E455" s="68"/>
      <c r="F455" s="95"/>
      <c r="G455" s="21"/>
    </row>
    <row r="456" spans="2:7" s="32" customFormat="1" x14ac:dyDescent="0.25">
      <c r="B456" s="39"/>
      <c r="D456" s="59"/>
      <c r="E456" s="68"/>
      <c r="F456" s="95"/>
      <c r="G456" s="21"/>
    </row>
    <row r="457" spans="2:7" s="32" customFormat="1" x14ac:dyDescent="0.25">
      <c r="B457" s="39"/>
      <c r="D457" s="59"/>
      <c r="E457" s="68"/>
      <c r="F457" s="95"/>
      <c r="G457" s="21"/>
    </row>
    <row r="458" spans="2:7" s="32" customFormat="1" x14ac:dyDescent="0.25">
      <c r="B458" s="39"/>
      <c r="D458" s="59"/>
      <c r="E458" s="68"/>
      <c r="F458" s="95"/>
      <c r="G458" s="21"/>
    </row>
    <row r="459" spans="2:7" s="32" customFormat="1" x14ac:dyDescent="0.25">
      <c r="B459" s="39"/>
      <c r="D459" s="59"/>
      <c r="E459" s="68"/>
      <c r="F459" s="95"/>
      <c r="G459" s="21"/>
    </row>
    <row r="460" spans="2:7" s="32" customFormat="1" x14ac:dyDescent="0.25">
      <c r="B460" s="39"/>
      <c r="D460" s="59"/>
      <c r="E460" s="68"/>
      <c r="F460" s="95"/>
      <c r="G460" s="21"/>
    </row>
    <row r="461" spans="2:7" s="32" customFormat="1" x14ac:dyDescent="0.25">
      <c r="B461" s="39"/>
      <c r="D461" s="59"/>
      <c r="E461" s="68"/>
      <c r="F461" s="95"/>
      <c r="G461" s="21"/>
    </row>
    <row r="462" spans="2:7" s="32" customFormat="1" x14ac:dyDescent="0.25">
      <c r="B462" s="39"/>
      <c r="D462" s="59"/>
      <c r="E462" s="68"/>
      <c r="F462" s="95"/>
      <c r="G462" s="21"/>
    </row>
    <row r="463" spans="2:7" s="32" customFormat="1" x14ac:dyDescent="0.25">
      <c r="B463" s="39"/>
      <c r="D463" s="59"/>
      <c r="E463" s="68"/>
      <c r="F463" s="95"/>
      <c r="G463" s="21"/>
    </row>
    <row r="464" spans="2:7" s="32" customFormat="1" x14ac:dyDescent="0.25">
      <c r="B464" s="39"/>
      <c r="D464" s="59"/>
      <c r="E464" s="68"/>
      <c r="F464" s="95"/>
      <c r="G464" s="21"/>
    </row>
    <row r="465" spans="2:7" s="32" customFormat="1" x14ac:dyDescent="0.25">
      <c r="B465" s="39"/>
      <c r="D465" s="59"/>
      <c r="E465" s="68"/>
      <c r="F465" s="95"/>
      <c r="G465" s="21"/>
    </row>
    <row r="466" spans="2:7" s="32" customFormat="1" x14ac:dyDescent="0.25">
      <c r="B466" s="39"/>
      <c r="D466" s="59"/>
      <c r="E466" s="68"/>
      <c r="F466" s="95"/>
      <c r="G466" s="21"/>
    </row>
    <row r="467" spans="2:7" s="32" customFormat="1" x14ac:dyDescent="0.25">
      <c r="B467" s="39"/>
      <c r="D467" s="59"/>
      <c r="E467" s="68"/>
      <c r="F467" s="95"/>
      <c r="G467" s="21"/>
    </row>
    <row r="468" spans="2:7" s="32" customFormat="1" x14ac:dyDescent="0.25">
      <c r="B468" s="39"/>
      <c r="D468" s="59"/>
      <c r="E468" s="68"/>
      <c r="F468" s="95"/>
      <c r="G468" s="21"/>
    </row>
    <row r="469" spans="2:7" s="32" customFormat="1" x14ac:dyDescent="0.25">
      <c r="B469" s="39"/>
      <c r="D469" s="59"/>
      <c r="E469" s="68"/>
      <c r="F469" s="95"/>
      <c r="G469" s="21"/>
    </row>
    <row r="470" spans="2:7" s="32" customFormat="1" x14ac:dyDescent="0.25">
      <c r="B470" s="39"/>
      <c r="D470" s="59"/>
      <c r="E470" s="68"/>
      <c r="F470" s="95"/>
      <c r="G470" s="21"/>
    </row>
    <row r="471" spans="2:7" s="32" customFormat="1" x14ac:dyDescent="0.25">
      <c r="B471" s="39"/>
      <c r="D471" s="59"/>
      <c r="E471" s="68"/>
      <c r="F471" s="95"/>
      <c r="G471" s="21"/>
    </row>
    <row r="472" spans="2:7" s="32" customFormat="1" x14ac:dyDescent="0.25">
      <c r="B472" s="39"/>
      <c r="D472" s="59"/>
      <c r="E472" s="68"/>
      <c r="F472" s="95"/>
      <c r="G472" s="21"/>
    </row>
    <row r="473" spans="2:7" s="32" customFormat="1" x14ac:dyDescent="0.25">
      <c r="B473" s="39"/>
      <c r="D473" s="59"/>
      <c r="E473" s="68"/>
      <c r="F473" s="95"/>
      <c r="G473" s="21"/>
    </row>
    <row r="474" spans="2:7" s="32" customFormat="1" x14ac:dyDescent="0.25">
      <c r="B474" s="39"/>
      <c r="D474" s="59"/>
      <c r="E474" s="68"/>
      <c r="F474" s="95"/>
      <c r="G474" s="21"/>
    </row>
    <row r="475" spans="2:7" s="32" customFormat="1" x14ac:dyDescent="0.25">
      <c r="B475" s="39"/>
      <c r="D475" s="59"/>
      <c r="E475" s="68"/>
      <c r="F475" s="95"/>
      <c r="G475" s="21"/>
    </row>
    <row r="476" spans="2:7" s="32" customFormat="1" x14ac:dyDescent="0.25">
      <c r="B476" s="39"/>
      <c r="D476" s="59"/>
      <c r="E476" s="68"/>
      <c r="F476" s="95"/>
      <c r="G476" s="21"/>
    </row>
    <row r="477" spans="2:7" s="32" customFormat="1" x14ac:dyDescent="0.25">
      <c r="B477" s="39"/>
      <c r="D477" s="59"/>
      <c r="E477" s="68"/>
      <c r="F477" s="95"/>
      <c r="G477" s="21"/>
    </row>
    <row r="478" spans="2:7" s="32" customFormat="1" x14ac:dyDescent="0.25">
      <c r="B478" s="39"/>
      <c r="D478" s="59"/>
      <c r="E478" s="68"/>
      <c r="F478" s="95"/>
      <c r="G478" s="21"/>
    </row>
    <row r="479" spans="2:7" s="32" customFormat="1" x14ac:dyDescent="0.25">
      <c r="B479" s="39"/>
      <c r="D479" s="59"/>
      <c r="E479" s="68"/>
      <c r="F479" s="95"/>
      <c r="G479" s="21"/>
    </row>
    <row r="480" spans="2:7" s="32" customFormat="1" x14ac:dyDescent="0.25">
      <c r="B480" s="39"/>
      <c r="D480" s="59"/>
      <c r="E480" s="68"/>
      <c r="F480" s="95"/>
      <c r="G480" s="21"/>
    </row>
    <row r="481" spans="2:7" s="32" customFormat="1" x14ac:dyDescent="0.25">
      <c r="B481" s="39"/>
      <c r="D481" s="59"/>
      <c r="E481" s="68"/>
      <c r="F481" s="95"/>
      <c r="G481" s="21"/>
    </row>
    <row r="482" spans="2:7" s="32" customFormat="1" x14ac:dyDescent="0.25">
      <c r="B482" s="39"/>
      <c r="D482" s="59"/>
      <c r="E482" s="68"/>
      <c r="F482" s="95"/>
      <c r="G482" s="21"/>
    </row>
    <row r="483" spans="2:7" s="32" customFormat="1" x14ac:dyDescent="0.25">
      <c r="B483" s="39"/>
      <c r="D483" s="59"/>
      <c r="E483" s="68"/>
      <c r="F483" s="95"/>
      <c r="G483" s="21"/>
    </row>
    <row r="484" spans="2:7" s="32" customFormat="1" x14ac:dyDescent="0.25">
      <c r="B484" s="39"/>
      <c r="D484" s="59"/>
      <c r="E484" s="68"/>
      <c r="F484" s="95"/>
      <c r="G484" s="21"/>
    </row>
    <row r="485" spans="2:7" s="32" customFormat="1" x14ac:dyDescent="0.25">
      <c r="B485" s="39"/>
      <c r="D485" s="59"/>
      <c r="E485" s="68"/>
      <c r="F485" s="95"/>
      <c r="G485" s="21"/>
    </row>
    <row r="486" spans="2:7" s="32" customFormat="1" x14ac:dyDescent="0.25">
      <c r="B486" s="39"/>
      <c r="D486" s="59"/>
      <c r="E486" s="68"/>
      <c r="F486" s="95"/>
      <c r="G486" s="21"/>
    </row>
    <row r="487" spans="2:7" s="32" customFormat="1" x14ac:dyDescent="0.25">
      <c r="B487" s="39"/>
      <c r="D487" s="59"/>
      <c r="E487" s="68"/>
      <c r="F487" s="95"/>
      <c r="G487" s="21"/>
    </row>
    <row r="488" spans="2:7" s="32" customFormat="1" x14ac:dyDescent="0.25">
      <c r="B488" s="39"/>
      <c r="D488" s="59"/>
      <c r="E488" s="68"/>
      <c r="F488" s="95"/>
      <c r="G488" s="21"/>
    </row>
    <row r="489" spans="2:7" s="32" customFormat="1" x14ac:dyDescent="0.25">
      <c r="B489" s="39"/>
      <c r="D489" s="59"/>
      <c r="E489" s="68"/>
      <c r="F489" s="95"/>
      <c r="G489" s="21"/>
    </row>
    <row r="490" spans="2:7" s="32" customFormat="1" x14ac:dyDescent="0.25">
      <c r="B490" s="39"/>
      <c r="D490" s="59"/>
      <c r="E490" s="68"/>
      <c r="F490" s="95"/>
      <c r="G490" s="21"/>
    </row>
    <row r="491" spans="2:7" s="32" customFormat="1" x14ac:dyDescent="0.25">
      <c r="B491" s="39"/>
      <c r="D491" s="59"/>
      <c r="E491" s="68"/>
      <c r="F491" s="95"/>
      <c r="G491" s="21"/>
    </row>
    <row r="492" spans="2:7" s="32" customFormat="1" x14ac:dyDescent="0.25">
      <c r="B492" s="39"/>
      <c r="D492" s="59"/>
      <c r="E492" s="68"/>
      <c r="F492" s="95"/>
      <c r="G492" s="21"/>
    </row>
    <row r="493" spans="2:7" s="32" customFormat="1" x14ac:dyDescent="0.25">
      <c r="B493" s="39"/>
      <c r="D493" s="59"/>
      <c r="E493" s="68"/>
      <c r="F493" s="95"/>
      <c r="G493" s="21"/>
    </row>
    <row r="494" spans="2:7" s="32" customFormat="1" x14ac:dyDescent="0.25">
      <c r="B494" s="39"/>
      <c r="D494" s="59"/>
      <c r="E494" s="68"/>
      <c r="F494" s="95"/>
      <c r="G494" s="21"/>
    </row>
    <row r="495" spans="2:7" s="32" customFormat="1" x14ac:dyDescent="0.25">
      <c r="B495" s="39"/>
      <c r="D495" s="59"/>
      <c r="E495" s="68"/>
      <c r="F495" s="95"/>
      <c r="G495" s="21"/>
    </row>
    <row r="496" spans="2:7" s="32" customFormat="1" x14ac:dyDescent="0.25">
      <c r="B496" s="39"/>
      <c r="D496" s="59"/>
      <c r="E496" s="68"/>
      <c r="F496" s="95"/>
      <c r="G496" s="21"/>
    </row>
    <row r="497" spans="2:7" s="32" customFormat="1" x14ac:dyDescent="0.25">
      <c r="B497" s="39"/>
      <c r="D497" s="59"/>
      <c r="E497" s="68"/>
      <c r="F497" s="95"/>
      <c r="G497" s="21"/>
    </row>
    <row r="498" spans="2:7" s="32" customFormat="1" x14ac:dyDescent="0.25">
      <c r="B498" s="39"/>
      <c r="D498" s="59"/>
      <c r="E498" s="68"/>
      <c r="F498" s="95"/>
      <c r="G498" s="21"/>
    </row>
    <row r="499" spans="2:7" s="32" customFormat="1" x14ac:dyDescent="0.25">
      <c r="B499" s="39"/>
      <c r="D499" s="59"/>
      <c r="E499" s="68"/>
      <c r="F499" s="95"/>
      <c r="G499" s="21"/>
    </row>
    <row r="500" spans="2:7" s="32" customFormat="1" x14ac:dyDescent="0.25">
      <c r="B500" s="39"/>
      <c r="D500" s="59"/>
      <c r="E500" s="68"/>
      <c r="F500" s="95"/>
      <c r="G500" s="21"/>
    </row>
    <row r="501" spans="2:7" s="32" customFormat="1" x14ac:dyDescent="0.25">
      <c r="B501" s="39"/>
      <c r="D501" s="59"/>
      <c r="E501" s="68"/>
      <c r="F501" s="95"/>
      <c r="G501" s="21"/>
    </row>
    <row r="502" spans="2:7" s="32" customFormat="1" x14ac:dyDescent="0.25">
      <c r="B502" s="39"/>
      <c r="D502" s="59"/>
      <c r="E502" s="68"/>
      <c r="F502" s="95"/>
      <c r="G502" s="21"/>
    </row>
    <row r="503" spans="2:7" s="32" customFormat="1" x14ac:dyDescent="0.25">
      <c r="B503" s="39"/>
      <c r="D503" s="59"/>
      <c r="E503" s="68"/>
      <c r="F503" s="95"/>
      <c r="G503" s="21"/>
    </row>
    <row r="504" spans="2:7" s="32" customFormat="1" x14ac:dyDescent="0.25">
      <c r="B504" s="39"/>
      <c r="D504" s="59"/>
      <c r="E504" s="68"/>
      <c r="F504" s="95"/>
      <c r="G504" s="21"/>
    </row>
    <row r="505" spans="2:7" s="32" customFormat="1" x14ac:dyDescent="0.25">
      <c r="B505" s="39"/>
      <c r="D505" s="59"/>
      <c r="E505" s="68"/>
      <c r="F505" s="95"/>
      <c r="G505" s="21"/>
    </row>
    <row r="506" spans="2:7" s="32" customFormat="1" x14ac:dyDescent="0.25">
      <c r="B506" s="39"/>
      <c r="D506" s="59"/>
      <c r="E506" s="68"/>
      <c r="F506" s="95"/>
      <c r="G506" s="21"/>
    </row>
    <row r="507" spans="2:7" s="32" customFormat="1" x14ac:dyDescent="0.25">
      <c r="B507" s="39"/>
      <c r="D507" s="59"/>
      <c r="E507" s="68"/>
      <c r="F507" s="95"/>
      <c r="G507" s="21"/>
    </row>
    <row r="508" spans="2:7" s="32" customFormat="1" x14ac:dyDescent="0.25">
      <c r="B508" s="39"/>
      <c r="D508" s="59"/>
      <c r="E508" s="68"/>
      <c r="F508" s="95"/>
      <c r="G508" s="21"/>
    </row>
    <row r="509" spans="2:7" s="32" customFormat="1" x14ac:dyDescent="0.25">
      <c r="B509" s="39"/>
      <c r="D509" s="59"/>
      <c r="E509" s="68"/>
      <c r="F509" s="95"/>
      <c r="G509" s="21"/>
    </row>
    <row r="510" spans="2:7" s="32" customFormat="1" x14ac:dyDescent="0.25">
      <c r="B510" s="39"/>
      <c r="D510" s="59"/>
      <c r="E510" s="68"/>
      <c r="F510" s="95"/>
      <c r="G510" s="21"/>
    </row>
    <row r="511" spans="2:7" s="32" customFormat="1" x14ac:dyDescent="0.25">
      <c r="B511" s="39"/>
      <c r="D511" s="59"/>
      <c r="E511" s="68"/>
      <c r="F511" s="95"/>
      <c r="G511" s="21"/>
    </row>
    <row r="512" spans="2:7" s="32" customFormat="1" x14ac:dyDescent="0.25">
      <c r="B512" s="39"/>
      <c r="D512" s="59"/>
      <c r="E512" s="68"/>
      <c r="F512" s="95"/>
      <c r="G512" s="21"/>
    </row>
    <row r="513" spans="2:7" s="32" customFormat="1" x14ac:dyDescent="0.25">
      <c r="B513" s="39"/>
      <c r="D513" s="59"/>
      <c r="E513" s="68"/>
      <c r="F513" s="95"/>
      <c r="G513" s="21"/>
    </row>
    <row r="514" spans="2:7" s="32" customFormat="1" x14ac:dyDescent="0.25">
      <c r="B514" s="39"/>
      <c r="D514" s="59"/>
      <c r="E514" s="68"/>
      <c r="F514" s="95"/>
      <c r="G514" s="21"/>
    </row>
    <row r="515" spans="2:7" s="32" customFormat="1" x14ac:dyDescent="0.25">
      <c r="B515" s="39"/>
      <c r="D515" s="59"/>
      <c r="E515" s="68"/>
      <c r="F515" s="95"/>
      <c r="G515" s="21"/>
    </row>
    <row r="516" spans="2:7" s="32" customFormat="1" x14ac:dyDescent="0.25">
      <c r="B516" s="39"/>
      <c r="D516" s="59"/>
      <c r="E516" s="68"/>
      <c r="F516" s="95"/>
      <c r="G516" s="21"/>
    </row>
    <row r="517" spans="2:7" s="32" customFormat="1" x14ac:dyDescent="0.25">
      <c r="B517" s="39"/>
      <c r="D517" s="59"/>
      <c r="E517" s="68"/>
      <c r="F517" s="95"/>
      <c r="G517" s="21"/>
    </row>
    <row r="518" spans="2:7" s="32" customFormat="1" x14ac:dyDescent="0.25">
      <c r="B518" s="39"/>
      <c r="D518" s="59"/>
      <c r="E518" s="68"/>
      <c r="F518" s="95"/>
      <c r="G518" s="21"/>
    </row>
    <row r="519" spans="2:7" s="32" customFormat="1" x14ac:dyDescent="0.25">
      <c r="B519" s="39"/>
      <c r="D519" s="59"/>
      <c r="E519" s="68"/>
      <c r="F519" s="95"/>
      <c r="G519" s="21"/>
    </row>
    <row r="520" spans="2:7" s="32" customFormat="1" x14ac:dyDescent="0.25">
      <c r="B520" s="39"/>
      <c r="D520" s="59"/>
      <c r="E520" s="68"/>
      <c r="F520" s="95"/>
      <c r="G520" s="21"/>
    </row>
    <row r="521" spans="2:7" s="32" customFormat="1" x14ac:dyDescent="0.25">
      <c r="B521" s="39"/>
      <c r="D521" s="59"/>
      <c r="E521" s="68"/>
      <c r="F521" s="95"/>
      <c r="G521" s="21"/>
    </row>
    <row r="522" spans="2:7" s="32" customFormat="1" x14ac:dyDescent="0.25">
      <c r="B522" s="39"/>
      <c r="D522" s="59"/>
      <c r="E522" s="68"/>
      <c r="F522" s="95"/>
      <c r="G522" s="21"/>
    </row>
    <row r="523" spans="2:7" s="32" customFormat="1" x14ac:dyDescent="0.25">
      <c r="B523" s="39"/>
      <c r="D523" s="59"/>
      <c r="E523" s="68"/>
      <c r="F523" s="95"/>
      <c r="G523" s="21"/>
    </row>
    <row r="524" spans="2:7" s="32" customFormat="1" x14ac:dyDescent="0.25">
      <c r="B524" s="39"/>
      <c r="D524" s="59"/>
      <c r="E524" s="68"/>
      <c r="F524" s="95"/>
      <c r="G524" s="21"/>
    </row>
    <row r="525" spans="2:7" s="32" customFormat="1" x14ac:dyDescent="0.25">
      <c r="B525" s="39"/>
      <c r="D525" s="59"/>
      <c r="E525" s="68"/>
      <c r="F525" s="95"/>
      <c r="G525" s="21"/>
    </row>
    <row r="526" spans="2:7" s="32" customFormat="1" x14ac:dyDescent="0.25">
      <c r="B526" s="39"/>
      <c r="D526" s="59"/>
      <c r="E526" s="68"/>
      <c r="F526" s="95"/>
      <c r="G526" s="21"/>
    </row>
    <row r="527" spans="2:7" s="32" customFormat="1" x14ac:dyDescent="0.25">
      <c r="B527" s="39"/>
      <c r="D527" s="59"/>
      <c r="E527" s="68"/>
      <c r="F527" s="95"/>
      <c r="G527" s="21"/>
    </row>
    <row r="528" spans="2:7" s="32" customFormat="1" x14ac:dyDescent="0.25">
      <c r="B528" s="39"/>
      <c r="D528" s="59"/>
      <c r="E528" s="68"/>
      <c r="F528" s="95"/>
      <c r="G528" s="21"/>
    </row>
    <row r="529" spans="2:7" s="32" customFormat="1" x14ac:dyDescent="0.25">
      <c r="B529" s="39"/>
      <c r="D529" s="59"/>
      <c r="E529" s="68"/>
      <c r="F529" s="95"/>
      <c r="G529" s="21"/>
    </row>
    <row r="530" spans="2:7" s="32" customFormat="1" x14ac:dyDescent="0.25">
      <c r="B530" s="39"/>
      <c r="D530" s="59"/>
      <c r="E530" s="68"/>
      <c r="F530" s="95"/>
      <c r="G530" s="21"/>
    </row>
    <row r="531" spans="2:7" s="32" customFormat="1" x14ac:dyDescent="0.25">
      <c r="B531" s="39"/>
      <c r="D531" s="59"/>
      <c r="E531" s="68"/>
      <c r="F531" s="95"/>
      <c r="G531" s="21"/>
    </row>
    <row r="532" spans="2:7" s="32" customFormat="1" x14ac:dyDescent="0.25">
      <c r="B532" s="39"/>
      <c r="D532" s="59"/>
      <c r="E532" s="68"/>
      <c r="F532" s="95"/>
      <c r="G532" s="21"/>
    </row>
    <row r="533" spans="2:7" s="32" customFormat="1" x14ac:dyDescent="0.25">
      <c r="B533" s="39"/>
      <c r="D533" s="59"/>
      <c r="E533" s="68"/>
      <c r="F533" s="95"/>
      <c r="G533" s="21"/>
    </row>
    <row r="534" spans="2:7" s="32" customFormat="1" x14ac:dyDescent="0.25">
      <c r="B534" s="39"/>
      <c r="D534" s="59"/>
      <c r="E534" s="68"/>
      <c r="F534" s="95"/>
      <c r="G534" s="21"/>
    </row>
    <row r="535" spans="2:7" s="32" customFormat="1" x14ac:dyDescent="0.25">
      <c r="B535" s="39"/>
      <c r="D535" s="59"/>
      <c r="E535" s="68"/>
      <c r="F535" s="95"/>
      <c r="G535" s="21"/>
    </row>
    <row r="536" spans="2:7" s="32" customFormat="1" x14ac:dyDescent="0.25">
      <c r="B536" s="39"/>
      <c r="D536" s="59"/>
      <c r="E536" s="68"/>
      <c r="F536" s="95"/>
      <c r="G536" s="21"/>
    </row>
    <row r="537" spans="2:7" s="32" customFormat="1" x14ac:dyDescent="0.25">
      <c r="B537" s="39"/>
      <c r="D537" s="59"/>
      <c r="E537" s="68"/>
      <c r="F537" s="95"/>
      <c r="G537" s="21"/>
    </row>
    <row r="538" spans="2:7" s="32" customFormat="1" x14ac:dyDescent="0.25">
      <c r="B538" s="39"/>
      <c r="D538" s="59"/>
      <c r="E538" s="68"/>
      <c r="F538" s="95"/>
      <c r="G538" s="21"/>
    </row>
    <row r="539" spans="2:7" s="32" customFormat="1" x14ac:dyDescent="0.25">
      <c r="B539" s="39"/>
      <c r="D539" s="59"/>
      <c r="E539" s="68"/>
      <c r="F539" s="95"/>
      <c r="G539" s="21"/>
    </row>
    <row r="540" spans="2:7" s="32" customFormat="1" x14ac:dyDescent="0.25">
      <c r="B540" s="39"/>
      <c r="D540" s="59"/>
      <c r="E540" s="68"/>
      <c r="F540" s="95"/>
      <c r="G540" s="21"/>
    </row>
    <row r="541" spans="2:7" s="32" customFormat="1" x14ac:dyDescent="0.25">
      <c r="B541" s="39"/>
      <c r="D541" s="59"/>
      <c r="E541" s="68"/>
      <c r="F541" s="95"/>
      <c r="G541" s="21"/>
    </row>
    <row r="542" spans="2:7" s="32" customFormat="1" x14ac:dyDescent="0.25">
      <c r="B542" s="39"/>
      <c r="D542" s="59"/>
      <c r="E542" s="68"/>
      <c r="F542" s="95"/>
      <c r="G542" s="21"/>
    </row>
    <row r="543" spans="2:7" s="32" customFormat="1" x14ac:dyDescent="0.25">
      <c r="B543" s="39"/>
      <c r="D543" s="59"/>
      <c r="E543" s="68"/>
      <c r="F543" s="95"/>
      <c r="G543" s="21"/>
    </row>
    <row r="544" spans="2:7" s="32" customFormat="1" x14ac:dyDescent="0.25">
      <c r="B544" s="39"/>
      <c r="D544" s="59"/>
      <c r="E544" s="68"/>
      <c r="F544" s="95"/>
      <c r="G544" s="21"/>
    </row>
    <row r="545" spans="2:7" s="32" customFormat="1" x14ac:dyDescent="0.25">
      <c r="B545" s="39"/>
      <c r="D545" s="59"/>
      <c r="E545" s="68"/>
      <c r="F545" s="95"/>
      <c r="G545" s="21"/>
    </row>
    <row r="546" spans="2:7" s="32" customFormat="1" x14ac:dyDescent="0.25">
      <c r="B546" s="39"/>
      <c r="D546" s="59"/>
      <c r="E546" s="68"/>
      <c r="F546" s="95"/>
      <c r="G546" s="21"/>
    </row>
    <row r="547" spans="2:7" s="32" customFormat="1" x14ac:dyDescent="0.25">
      <c r="B547" s="39"/>
      <c r="D547" s="59"/>
      <c r="E547" s="68"/>
      <c r="F547" s="95"/>
      <c r="G547" s="21"/>
    </row>
    <row r="548" spans="2:7" s="32" customFormat="1" x14ac:dyDescent="0.25">
      <c r="B548" s="39"/>
      <c r="D548" s="59"/>
      <c r="E548" s="68"/>
      <c r="F548" s="95"/>
      <c r="G548" s="21"/>
    </row>
    <row r="549" spans="2:7" s="32" customFormat="1" x14ac:dyDescent="0.25">
      <c r="B549" s="39"/>
      <c r="D549" s="59"/>
      <c r="E549" s="68"/>
      <c r="F549" s="95"/>
      <c r="G549" s="21"/>
    </row>
    <row r="550" spans="2:7" s="32" customFormat="1" x14ac:dyDescent="0.25">
      <c r="B550" s="39"/>
      <c r="D550" s="59"/>
      <c r="E550" s="68"/>
      <c r="F550" s="95"/>
      <c r="G550" s="21"/>
    </row>
    <row r="551" spans="2:7" s="32" customFormat="1" x14ac:dyDescent="0.25">
      <c r="B551" s="39"/>
      <c r="D551" s="59"/>
      <c r="E551" s="68"/>
      <c r="F551" s="95"/>
      <c r="G551" s="21"/>
    </row>
    <row r="552" spans="2:7" s="32" customFormat="1" x14ac:dyDescent="0.25">
      <c r="B552" s="39"/>
      <c r="D552" s="59"/>
      <c r="E552" s="68"/>
      <c r="F552" s="95"/>
      <c r="G552" s="21"/>
    </row>
    <row r="553" spans="2:7" s="32" customFormat="1" x14ac:dyDescent="0.25">
      <c r="B553" s="39"/>
      <c r="D553" s="59"/>
      <c r="E553" s="68"/>
      <c r="F553" s="95"/>
      <c r="G553" s="21"/>
    </row>
    <row r="554" spans="2:7" s="32" customFormat="1" x14ac:dyDescent="0.25">
      <c r="B554" s="39"/>
      <c r="D554" s="59"/>
      <c r="E554" s="68"/>
      <c r="F554" s="95"/>
      <c r="G554" s="21"/>
    </row>
    <row r="555" spans="2:7" s="32" customFormat="1" x14ac:dyDescent="0.25">
      <c r="B555" s="39"/>
      <c r="D555" s="59"/>
      <c r="E555" s="68"/>
      <c r="F555" s="95"/>
      <c r="G555" s="21"/>
    </row>
    <row r="556" spans="2:7" s="32" customFormat="1" x14ac:dyDescent="0.25">
      <c r="B556" s="39"/>
      <c r="D556" s="59"/>
      <c r="E556" s="68"/>
      <c r="F556" s="95"/>
      <c r="G556" s="21"/>
    </row>
    <row r="557" spans="2:7" s="32" customFormat="1" x14ac:dyDescent="0.25">
      <c r="B557" s="39"/>
      <c r="D557" s="59"/>
      <c r="E557" s="68"/>
      <c r="F557" s="95"/>
      <c r="G557" s="21"/>
    </row>
    <row r="558" spans="2:7" s="32" customFormat="1" x14ac:dyDescent="0.25">
      <c r="B558" s="39"/>
      <c r="D558" s="59"/>
      <c r="E558" s="68"/>
      <c r="F558" s="95"/>
      <c r="G558" s="21"/>
    </row>
    <row r="559" spans="2:7" s="32" customFormat="1" x14ac:dyDescent="0.25">
      <c r="B559" s="39"/>
      <c r="D559" s="59"/>
      <c r="E559" s="68"/>
      <c r="F559" s="95"/>
      <c r="G559" s="21"/>
    </row>
    <row r="560" spans="2:7" s="32" customFormat="1" x14ac:dyDescent="0.25">
      <c r="B560" s="39"/>
      <c r="D560" s="59"/>
      <c r="E560" s="68"/>
      <c r="F560" s="95"/>
      <c r="G560" s="21"/>
    </row>
    <row r="561" spans="2:7" s="32" customFormat="1" x14ac:dyDescent="0.25">
      <c r="B561" s="39"/>
      <c r="D561" s="59"/>
      <c r="E561" s="68"/>
      <c r="F561" s="95"/>
      <c r="G561" s="21"/>
    </row>
    <row r="562" spans="2:7" s="32" customFormat="1" x14ac:dyDescent="0.25">
      <c r="B562" s="39"/>
      <c r="D562" s="59"/>
      <c r="E562" s="68"/>
      <c r="F562" s="95"/>
      <c r="G562" s="21"/>
    </row>
    <row r="563" spans="2:7" s="32" customFormat="1" x14ac:dyDescent="0.25">
      <c r="B563" s="39"/>
      <c r="D563" s="59"/>
      <c r="E563" s="68"/>
      <c r="F563" s="95"/>
      <c r="G563" s="21"/>
    </row>
    <row r="564" spans="2:7" s="32" customFormat="1" x14ac:dyDescent="0.25">
      <c r="B564" s="39"/>
      <c r="D564" s="59"/>
      <c r="E564" s="68"/>
      <c r="F564" s="95"/>
      <c r="G564" s="21"/>
    </row>
    <row r="565" spans="2:7" s="32" customFormat="1" x14ac:dyDescent="0.25">
      <c r="B565" s="39"/>
      <c r="D565" s="59"/>
      <c r="E565" s="68"/>
      <c r="F565" s="95"/>
      <c r="G565" s="21"/>
    </row>
    <row r="566" spans="2:7" s="32" customFormat="1" x14ac:dyDescent="0.25">
      <c r="B566" s="39"/>
      <c r="D566" s="59"/>
      <c r="E566" s="68"/>
      <c r="F566" s="95"/>
      <c r="G566" s="21"/>
    </row>
    <row r="567" spans="2:7" s="32" customFormat="1" x14ac:dyDescent="0.25">
      <c r="B567" s="39"/>
      <c r="D567" s="59"/>
      <c r="E567" s="68"/>
      <c r="F567" s="95"/>
      <c r="G567" s="21"/>
    </row>
    <row r="568" spans="2:7" s="32" customFormat="1" x14ac:dyDescent="0.25">
      <c r="B568" s="39"/>
      <c r="D568" s="59"/>
      <c r="E568" s="68"/>
      <c r="F568" s="95"/>
      <c r="G568" s="21"/>
    </row>
    <row r="569" spans="2:7" s="32" customFormat="1" x14ac:dyDescent="0.25">
      <c r="B569" s="39"/>
      <c r="D569" s="59"/>
      <c r="E569" s="68"/>
      <c r="F569" s="95"/>
      <c r="G569" s="21"/>
    </row>
    <row r="570" spans="2:7" s="32" customFormat="1" x14ac:dyDescent="0.25">
      <c r="B570" s="39"/>
      <c r="D570" s="59"/>
      <c r="E570" s="68"/>
      <c r="F570" s="95"/>
      <c r="G570" s="21"/>
    </row>
    <row r="571" spans="2:7" s="32" customFormat="1" x14ac:dyDescent="0.25">
      <c r="B571" s="39"/>
      <c r="D571" s="59"/>
      <c r="E571" s="68"/>
      <c r="F571" s="95"/>
      <c r="G571" s="21"/>
    </row>
    <row r="572" spans="2:7" s="32" customFormat="1" x14ac:dyDescent="0.25">
      <c r="B572" s="39"/>
      <c r="D572" s="59"/>
      <c r="E572" s="68"/>
      <c r="F572" s="95"/>
      <c r="G572" s="21"/>
    </row>
    <row r="573" spans="2:7" s="32" customFormat="1" x14ac:dyDescent="0.25">
      <c r="B573" s="39"/>
      <c r="D573" s="59"/>
      <c r="E573" s="68"/>
      <c r="F573" s="95"/>
      <c r="G573" s="21"/>
    </row>
    <row r="574" spans="2:7" s="32" customFormat="1" x14ac:dyDescent="0.25">
      <c r="B574" s="39"/>
      <c r="D574" s="59"/>
      <c r="E574" s="68"/>
      <c r="F574" s="95"/>
      <c r="G574" s="21"/>
    </row>
    <row r="575" spans="2:7" s="32" customFormat="1" x14ac:dyDescent="0.25">
      <c r="B575" s="39"/>
      <c r="D575" s="59"/>
      <c r="E575" s="68"/>
      <c r="F575" s="95"/>
      <c r="G575" s="21"/>
    </row>
    <row r="576" spans="2:7" s="32" customFormat="1" x14ac:dyDescent="0.25">
      <c r="B576" s="39"/>
      <c r="D576" s="59"/>
      <c r="E576" s="68"/>
      <c r="F576" s="95"/>
      <c r="G576" s="21"/>
    </row>
    <row r="577" spans="2:7" s="32" customFormat="1" x14ac:dyDescent="0.25">
      <c r="B577" s="39"/>
      <c r="D577" s="59"/>
      <c r="E577" s="68"/>
      <c r="F577" s="95"/>
      <c r="G577" s="21"/>
    </row>
    <row r="578" spans="2:7" s="32" customFormat="1" x14ac:dyDescent="0.25">
      <c r="B578" s="39"/>
      <c r="D578" s="59"/>
      <c r="E578" s="68"/>
      <c r="F578" s="95"/>
      <c r="G578" s="21"/>
    </row>
    <row r="579" spans="2:7" s="32" customFormat="1" x14ac:dyDescent="0.25">
      <c r="B579" s="39"/>
      <c r="D579" s="59"/>
      <c r="E579" s="68"/>
      <c r="F579" s="95"/>
      <c r="G579" s="21"/>
    </row>
    <row r="580" spans="2:7" s="32" customFormat="1" x14ac:dyDescent="0.25">
      <c r="B580" s="39"/>
      <c r="D580" s="59"/>
      <c r="E580" s="68"/>
      <c r="F580" s="95"/>
      <c r="G580" s="21"/>
    </row>
    <row r="581" spans="2:7" s="32" customFormat="1" x14ac:dyDescent="0.25">
      <c r="B581" s="39"/>
      <c r="D581" s="59"/>
      <c r="E581" s="68"/>
      <c r="F581" s="95"/>
      <c r="G581" s="21"/>
    </row>
    <row r="582" spans="2:7" s="32" customFormat="1" x14ac:dyDescent="0.25">
      <c r="B582" s="39"/>
      <c r="D582" s="59"/>
      <c r="E582" s="68"/>
      <c r="F582" s="95"/>
      <c r="G582" s="21"/>
    </row>
    <row r="583" spans="2:7" s="32" customFormat="1" x14ac:dyDescent="0.25">
      <c r="B583" s="39"/>
      <c r="D583" s="59"/>
      <c r="E583" s="68"/>
      <c r="F583" s="95"/>
      <c r="G583" s="21"/>
    </row>
    <row r="584" spans="2:7" s="32" customFormat="1" x14ac:dyDescent="0.25">
      <c r="B584" s="39"/>
      <c r="D584" s="59"/>
      <c r="E584" s="68"/>
      <c r="F584" s="95"/>
      <c r="G584" s="21"/>
    </row>
    <row r="585" spans="2:7" s="32" customFormat="1" x14ac:dyDescent="0.25">
      <c r="B585" s="39"/>
      <c r="D585" s="59"/>
      <c r="E585" s="68"/>
      <c r="F585" s="95"/>
      <c r="G585" s="21"/>
    </row>
    <row r="586" spans="2:7" s="32" customFormat="1" x14ac:dyDescent="0.25">
      <c r="B586" s="39"/>
      <c r="D586" s="59"/>
      <c r="E586" s="68"/>
      <c r="F586" s="95"/>
      <c r="G586" s="21"/>
    </row>
    <row r="587" spans="2:7" s="32" customFormat="1" x14ac:dyDescent="0.25">
      <c r="B587" s="39"/>
      <c r="D587" s="59"/>
      <c r="E587" s="68"/>
      <c r="F587" s="95"/>
      <c r="G587" s="21"/>
    </row>
    <row r="588" spans="2:7" s="32" customFormat="1" x14ac:dyDescent="0.25">
      <c r="B588" s="39"/>
      <c r="D588" s="59"/>
      <c r="E588" s="68"/>
      <c r="F588" s="95"/>
      <c r="G588" s="21"/>
    </row>
    <row r="589" spans="2:7" s="32" customFormat="1" x14ac:dyDescent="0.25">
      <c r="B589" s="39"/>
      <c r="D589" s="59"/>
      <c r="E589" s="68"/>
      <c r="F589" s="95"/>
      <c r="G589" s="21"/>
    </row>
    <row r="590" spans="2:7" s="32" customFormat="1" x14ac:dyDescent="0.25">
      <c r="B590" s="39"/>
      <c r="D590" s="59"/>
      <c r="E590" s="68"/>
      <c r="F590" s="95"/>
      <c r="G590" s="21"/>
    </row>
    <row r="591" spans="2:7" s="32" customFormat="1" x14ac:dyDescent="0.25">
      <c r="B591" s="39"/>
      <c r="D591" s="59"/>
      <c r="E591" s="68"/>
      <c r="F591" s="95"/>
      <c r="G591" s="21"/>
    </row>
    <row r="592" spans="2:7" s="32" customFormat="1" x14ac:dyDescent="0.25">
      <c r="B592" s="39"/>
      <c r="D592" s="59"/>
      <c r="E592" s="68"/>
      <c r="F592" s="95"/>
      <c r="G592" s="21"/>
    </row>
    <row r="593" spans="2:7" s="32" customFormat="1" x14ac:dyDescent="0.25">
      <c r="B593" s="39"/>
      <c r="D593" s="59"/>
      <c r="E593" s="68"/>
      <c r="F593" s="95"/>
      <c r="G593" s="21"/>
    </row>
    <row r="594" spans="2:7" s="32" customFormat="1" x14ac:dyDescent="0.25">
      <c r="B594" s="39"/>
      <c r="D594" s="59"/>
      <c r="E594" s="68"/>
      <c r="F594" s="95"/>
      <c r="G594" s="21"/>
    </row>
    <row r="595" spans="2:7" s="32" customFormat="1" x14ac:dyDescent="0.25">
      <c r="B595" s="39"/>
      <c r="D595" s="59"/>
      <c r="E595" s="68"/>
      <c r="F595" s="95"/>
      <c r="G595" s="21"/>
    </row>
    <row r="596" spans="2:7" s="32" customFormat="1" x14ac:dyDescent="0.25">
      <c r="B596" s="39"/>
      <c r="D596" s="59"/>
      <c r="E596" s="68"/>
      <c r="F596" s="95"/>
      <c r="G596" s="21"/>
    </row>
    <row r="597" spans="2:7" s="32" customFormat="1" x14ac:dyDescent="0.25">
      <c r="B597" s="39"/>
      <c r="D597" s="59"/>
      <c r="E597" s="68"/>
      <c r="F597" s="95"/>
      <c r="G597" s="21"/>
    </row>
    <row r="598" spans="2:7" s="32" customFormat="1" x14ac:dyDescent="0.25">
      <c r="B598" s="39"/>
      <c r="D598" s="59"/>
      <c r="E598" s="68"/>
      <c r="F598" s="95"/>
      <c r="G598" s="21"/>
    </row>
    <row r="599" spans="2:7" s="32" customFormat="1" x14ac:dyDescent="0.25">
      <c r="B599" s="39"/>
      <c r="D599" s="59"/>
      <c r="E599" s="68"/>
      <c r="F599" s="95"/>
      <c r="G599" s="21"/>
    </row>
    <row r="600" spans="2:7" s="32" customFormat="1" x14ac:dyDescent="0.25">
      <c r="B600" s="39"/>
      <c r="D600" s="59"/>
      <c r="E600" s="68"/>
      <c r="F600" s="95"/>
      <c r="G600" s="21"/>
    </row>
    <row r="601" spans="2:7" s="32" customFormat="1" x14ac:dyDescent="0.25">
      <c r="B601" s="39"/>
      <c r="D601" s="59"/>
      <c r="E601" s="68"/>
      <c r="F601" s="95"/>
      <c r="G601" s="21"/>
    </row>
    <row r="602" spans="2:7" s="32" customFormat="1" x14ac:dyDescent="0.25">
      <c r="B602" s="39"/>
      <c r="D602" s="59"/>
      <c r="E602" s="68"/>
      <c r="F602" s="95"/>
      <c r="G602" s="21"/>
    </row>
    <row r="603" spans="2:7" s="32" customFormat="1" x14ac:dyDescent="0.25">
      <c r="B603" s="39"/>
      <c r="D603" s="59"/>
      <c r="E603" s="68"/>
      <c r="F603" s="95"/>
      <c r="G603" s="21"/>
    </row>
    <row r="604" spans="2:7" s="32" customFormat="1" x14ac:dyDescent="0.25">
      <c r="B604" s="39"/>
      <c r="D604" s="59"/>
      <c r="E604" s="68"/>
      <c r="F604" s="95"/>
      <c r="G604" s="21"/>
    </row>
    <row r="605" spans="2:7" s="32" customFormat="1" x14ac:dyDescent="0.25">
      <c r="B605" s="39"/>
      <c r="D605" s="59"/>
      <c r="E605" s="68"/>
      <c r="F605" s="95"/>
      <c r="G605" s="21"/>
    </row>
    <row r="606" spans="2:7" s="32" customFormat="1" x14ac:dyDescent="0.25">
      <c r="B606" s="39"/>
      <c r="D606" s="59"/>
      <c r="E606" s="68"/>
      <c r="F606" s="95"/>
      <c r="G606" s="21"/>
    </row>
    <row r="607" spans="2:7" s="32" customFormat="1" x14ac:dyDescent="0.25">
      <c r="B607" s="39"/>
      <c r="D607" s="59"/>
      <c r="E607" s="68"/>
      <c r="F607" s="95"/>
      <c r="G607" s="21"/>
    </row>
    <row r="608" spans="2:7" s="32" customFormat="1" x14ac:dyDescent="0.25">
      <c r="B608" s="39"/>
      <c r="D608" s="59"/>
      <c r="E608" s="68"/>
      <c r="F608" s="95"/>
      <c r="G608" s="21"/>
    </row>
    <row r="609" spans="2:7" s="32" customFormat="1" x14ac:dyDescent="0.25">
      <c r="B609" s="39"/>
      <c r="D609" s="59"/>
      <c r="E609" s="68"/>
      <c r="F609" s="95"/>
      <c r="G609" s="21"/>
    </row>
    <row r="610" spans="2:7" s="32" customFormat="1" x14ac:dyDescent="0.25">
      <c r="B610" s="39"/>
      <c r="D610" s="59"/>
      <c r="E610" s="68"/>
      <c r="F610" s="95"/>
      <c r="G610" s="21"/>
    </row>
    <row r="611" spans="2:7" s="32" customFormat="1" x14ac:dyDescent="0.25">
      <c r="B611" s="39"/>
      <c r="D611" s="59"/>
      <c r="E611" s="68"/>
      <c r="F611" s="95"/>
      <c r="G611" s="21"/>
    </row>
    <row r="612" spans="2:7" s="32" customFormat="1" x14ac:dyDescent="0.25">
      <c r="B612" s="39"/>
      <c r="D612" s="59"/>
      <c r="E612" s="68"/>
      <c r="F612" s="95"/>
      <c r="G612" s="21"/>
    </row>
    <row r="613" spans="2:7" s="32" customFormat="1" x14ac:dyDescent="0.25">
      <c r="B613" s="39"/>
      <c r="D613" s="59"/>
      <c r="E613" s="68"/>
      <c r="F613" s="95"/>
      <c r="G613" s="21"/>
    </row>
    <row r="614" spans="2:7" s="32" customFormat="1" x14ac:dyDescent="0.25">
      <c r="B614" s="39"/>
      <c r="D614" s="59"/>
      <c r="E614" s="68"/>
      <c r="F614" s="95"/>
      <c r="G614" s="21"/>
    </row>
    <row r="615" spans="2:7" s="32" customFormat="1" x14ac:dyDescent="0.25">
      <c r="B615" s="39"/>
      <c r="D615" s="59"/>
      <c r="E615" s="68"/>
      <c r="F615" s="95"/>
      <c r="G615" s="21"/>
    </row>
    <row r="616" spans="2:7" s="32" customFormat="1" x14ac:dyDescent="0.25">
      <c r="B616" s="39"/>
      <c r="D616" s="59"/>
      <c r="E616" s="68"/>
      <c r="F616" s="95"/>
      <c r="G616" s="21"/>
    </row>
    <row r="617" spans="2:7" s="32" customFormat="1" x14ac:dyDescent="0.25">
      <c r="B617" s="39"/>
      <c r="D617" s="59"/>
      <c r="E617" s="68"/>
      <c r="F617" s="95"/>
      <c r="G617" s="21"/>
    </row>
    <row r="618" spans="2:7" s="32" customFormat="1" x14ac:dyDescent="0.25">
      <c r="B618" s="39"/>
      <c r="D618" s="59"/>
      <c r="E618" s="68"/>
      <c r="F618" s="95"/>
      <c r="G618" s="21"/>
    </row>
    <row r="619" spans="2:7" s="32" customFormat="1" x14ac:dyDescent="0.25">
      <c r="B619" s="39"/>
      <c r="D619" s="59"/>
      <c r="E619" s="68"/>
      <c r="F619" s="95"/>
      <c r="G619" s="21"/>
    </row>
    <row r="620" spans="2:7" s="32" customFormat="1" x14ac:dyDescent="0.25">
      <c r="B620" s="39"/>
      <c r="D620" s="59"/>
      <c r="E620" s="68"/>
      <c r="F620" s="95"/>
      <c r="G620" s="21"/>
    </row>
    <row r="621" spans="2:7" s="32" customFormat="1" x14ac:dyDescent="0.25">
      <c r="B621" s="39"/>
      <c r="D621" s="59"/>
      <c r="E621" s="68"/>
      <c r="F621" s="95"/>
      <c r="G621" s="21"/>
    </row>
    <row r="622" spans="2:7" s="32" customFormat="1" x14ac:dyDescent="0.25">
      <c r="B622" s="39"/>
      <c r="D622" s="59"/>
      <c r="E622" s="68"/>
      <c r="F622" s="95"/>
      <c r="G622" s="21"/>
    </row>
    <row r="623" spans="2:7" s="32" customFormat="1" x14ac:dyDescent="0.25">
      <c r="B623" s="39"/>
      <c r="D623" s="59"/>
      <c r="E623" s="68"/>
      <c r="F623" s="95"/>
      <c r="G623" s="21"/>
    </row>
    <row r="624" spans="2:7" s="32" customFormat="1" x14ac:dyDescent="0.25">
      <c r="B624" s="39"/>
      <c r="D624" s="59"/>
      <c r="E624" s="68"/>
      <c r="F624" s="95"/>
      <c r="G624" s="21"/>
    </row>
    <row r="625" spans="2:7" s="32" customFormat="1" x14ac:dyDescent="0.25">
      <c r="B625" s="39"/>
      <c r="D625" s="59"/>
      <c r="E625" s="68"/>
      <c r="F625" s="95"/>
      <c r="G625" s="21"/>
    </row>
    <row r="626" spans="2:7" s="32" customFormat="1" x14ac:dyDescent="0.25">
      <c r="B626" s="39"/>
      <c r="D626" s="59"/>
      <c r="E626" s="68"/>
      <c r="F626" s="95"/>
      <c r="G626" s="21"/>
    </row>
    <row r="627" spans="2:7" s="32" customFormat="1" x14ac:dyDescent="0.25">
      <c r="B627" s="39"/>
      <c r="D627" s="59"/>
      <c r="E627" s="68"/>
      <c r="F627" s="95"/>
      <c r="G627" s="21"/>
    </row>
    <row r="628" spans="2:7" s="32" customFormat="1" x14ac:dyDescent="0.25">
      <c r="B628" s="39"/>
      <c r="D628" s="59"/>
      <c r="E628" s="68"/>
      <c r="F628" s="95"/>
      <c r="G628" s="21"/>
    </row>
    <row r="629" spans="2:7" s="32" customFormat="1" x14ac:dyDescent="0.25">
      <c r="B629" s="39"/>
      <c r="D629" s="59"/>
      <c r="E629" s="68"/>
      <c r="F629" s="95"/>
      <c r="G629" s="21"/>
    </row>
    <row r="630" spans="2:7" s="32" customFormat="1" x14ac:dyDescent="0.25">
      <c r="B630" s="39"/>
      <c r="D630" s="59"/>
      <c r="E630" s="68"/>
      <c r="F630" s="95"/>
      <c r="G630" s="21"/>
    </row>
    <row r="631" spans="2:7" s="32" customFormat="1" x14ac:dyDescent="0.25">
      <c r="B631" s="39"/>
      <c r="D631" s="59"/>
      <c r="E631" s="68"/>
      <c r="F631" s="95"/>
      <c r="G631" s="21"/>
    </row>
    <row r="632" spans="2:7" s="32" customFormat="1" x14ac:dyDescent="0.25">
      <c r="B632" s="39"/>
      <c r="D632" s="59"/>
      <c r="E632" s="68"/>
      <c r="F632" s="95"/>
      <c r="G632" s="21"/>
    </row>
    <row r="633" spans="2:7" s="32" customFormat="1" x14ac:dyDescent="0.25">
      <c r="B633" s="39"/>
      <c r="D633" s="59"/>
      <c r="E633" s="68"/>
      <c r="F633" s="95"/>
      <c r="G633" s="21"/>
    </row>
    <row r="634" spans="2:7" s="32" customFormat="1" x14ac:dyDescent="0.25">
      <c r="B634" s="39"/>
      <c r="D634" s="59"/>
      <c r="E634" s="68"/>
      <c r="F634" s="95"/>
      <c r="G634" s="21"/>
    </row>
    <row r="635" spans="2:7" s="32" customFormat="1" x14ac:dyDescent="0.25">
      <c r="B635" s="39"/>
      <c r="D635" s="59"/>
      <c r="E635" s="68"/>
      <c r="F635" s="95"/>
      <c r="G635" s="21"/>
    </row>
    <row r="636" spans="2:7" s="32" customFormat="1" x14ac:dyDescent="0.25">
      <c r="B636" s="39"/>
      <c r="D636" s="59"/>
      <c r="E636" s="68"/>
      <c r="F636" s="95"/>
      <c r="G636" s="21"/>
    </row>
    <row r="637" spans="2:7" s="32" customFormat="1" x14ac:dyDescent="0.25">
      <c r="B637" s="39"/>
      <c r="D637" s="59"/>
      <c r="E637" s="68"/>
      <c r="F637" s="95"/>
      <c r="G637" s="21"/>
    </row>
    <row r="638" spans="2:7" s="32" customFormat="1" x14ac:dyDescent="0.25">
      <c r="B638" s="39"/>
      <c r="D638" s="59"/>
      <c r="E638" s="68"/>
      <c r="F638" s="95"/>
      <c r="G638" s="21"/>
    </row>
    <row r="639" spans="2:7" s="32" customFormat="1" x14ac:dyDescent="0.25">
      <c r="B639" s="39"/>
      <c r="D639" s="59"/>
      <c r="E639" s="68"/>
      <c r="F639" s="95"/>
      <c r="G639" s="21"/>
    </row>
    <row r="640" spans="2:7" s="32" customFormat="1" x14ac:dyDescent="0.25">
      <c r="B640" s="39"/>
      <c r="D640" s="59"/>
      <c r="E640" s="68"/>
      <c r="F640" s="95"/>
      <c r="G640" s="21"/>
    </row>
    <row r="641" spans="2:7" s="32" customFormat="1" x14ac:dyDescent="0.25">
      <c r="B641" s="39"/>
      <c r="D641" s="59"/>
      <c r="E641" s="68"/>
      <c r="F641" s="95"/>
      <c r="G641" s="21"/>
    </row>
    <row r="642" spans="2:7" s="32" customFormat="1" x14ac:dyDescent="0.25">
      <c r="B642" s="39"/>
      <c r="D642" s="59"/>
      <c r="E642" s="68"/>
      <c r="F642" s="95"/>
      <c r="G642" s="21"/>
    </row>
    <row r="643" spans="2:7" s="32" customFormat="1" x14ac:dyDescent="0.25">
      <c r="B643" s="39"/>
      <c r="D643" s="59"/>
      <c r="E643" s="68"/>
      <c r="F643" s="95"/>
      <c r="G643" s="21"/>
    </row>
    <row r="644" spans="2:7" s="32" customFormat="1" x14ac:dyDescent="0.25">
      <c r="B644" s="39"/>
      <c r="D644" s="59"/>
      <c r="E644" s="68"/>
      <c r="F644" s="95"/>
      <c r="G644" s="21"/>
    </row>
    <row r="645" spans="2:7" s="32" customFormat="1" x14ac:dyDescent="0.25">
      <c r="B645" s="39"/>
      <c r="D645" s="59"/>
      <c r="E645" s="68"/>
      <c r="F645" s="95"/>
      <c r="G645" s="21"/>
    </row>
    <row r="646" spans="2:7" s="32" customFormat="1" x14ac:dyDescent="0.25">
      <c r="B646" s="39"/>
      <c r="D646" s="59"/>
      <c r="E646" s="68"/>
      <c r="F646" s="95"/>
      <c r="G646" s="21"/>
    </row>
    <row r="647" spans="2:7" s="32" customFormat="1" x14ac:dyDescent="0.25">
      <c r="B647" s="39"/>
      <c r="D647" s="59"/>
      <c r="E647" s="68"/>
      <c r="F647" s="95"/>
      <c r="G647" s="21"/>
    </row>
    <row r="648" spans="2:7" s="32" customFormat="1" x14ac:dyDescent="0.25">
      <c r="B648" s="39"/>
      <c r="D648" s="59"/>
      <c r="E648" s="68"/>
      <c r="F648" s="95"/>
      <c r="G648" s="21"/>
    </row>
    <row r="649" spans="2:7" s="32" customFormat="1" x14ac:dyDescent="0.25">
      <c r="B649" s="39"/>
      <c r="D649" s="59"/>
      <c r="E649" s="68"/>
      <c r="F649" s="95"/>
      <c r="G649" s="21"/>
    </row>
    <row r="650" spans="2:7" s="32" customFormat="1" x14ac:dyDescent="0.25">
      <c r="B650" s="39"/>
      <c r="D650" s="59"/>
      <c r="E650" s="68"/>
      <c r="F650" s="95"/>
      <c r="G650" s="21"/>
    </row>
    <row r="651" spans="2:7" s="32" customFormat="1" x14ac:dyDescent="0.25">
      <c r="B651" s="39"/>
      <c r="D651" s="59"/>
      <c r="E651" s="68"/>
      <c r="F651" s="95"/>
      <c r="G651" s="21"/>
    </row>
    <row r="652" spans="2:7" s="32" customFormat="1" x14ac:dyDescent="0.25">
      <c r="B652" s="39"/>
      <c r="D652" s="59"/>
      <c r="E652" s="68"/>
      <c r="F652" s="95"/>
      <c r="G652" s="21"/>
    </row>
    <row r="653" spans="2:7" s="32" customFormat="1" x14ac:dyDescent="0.25">
      <c r="B653" s="39"/>
      <c r="D653" s="59"/>
      <c r="E653" s="68"/>
      <c r="F653" s="95"/>
      <c r="G653" s="21"/>
    </row>
    <row r="654" spans="2:7" s="32" customFormat="1" x14ac:dyDescent="0.25">
      <c r="B654" s="39"/>
      <c r="D654" s="59"/>
      <c r="E654" s="68"/>
      <c r="F654" s="95"/>
      <c r="G654" s="21"/>
    </row>
    <row r="655" spans="2:7" s="32" customFormat="1" x14ac:dyDescent="0.25">
      <c r="B655" s="39"/>
      <c r="D655" s="59"/>
      <c r="E655" s="68"/>
      <c r="F655" s="95"/>
      <c r="G655" s="21"/>
    </row>
    <row r="656" spans="2:7" s="32" customFormat="1" x14ac:dyDescent="0.25">
      <c r="B656" s="39"/>
      <c r="D656" s="59"/>
      <c r="E656" s="68"/>
      <c r="F656" s="95"/>
      <c r="G656" s="21"/>
    </row>
    <row r="657" spans="2:7" s="32" customFormat="1" x14ac:dyDescent="0.25">
      <c r="B657" s="39"/>
      <c r="D657" s="59"/>
      <c r="E657" s="68"/>
      <c r="F657" s="95"/>
      <c r="G657" s="21"/>
    </row>
    <row r="658" spans="2:7" s="32" customFormat="1" x14ac:dyDescent="0.25">
      <c r="B658" s="39"/>
      <c r="D658" s="59"/>
      <c r="E658" s="68"/>
      <c r="F658" s="95"/>
      <c r="G658" s="21"/>
    </row>
    <row r="659" spans="2:7" s="32" customFormat="1" x14ac:dyDescent="0.25">
      <c r="B659" s="39"/>
      <c r="D659" s="59"/>
      <c r="E659" s="68"/>
      <c r="F659" s="95"/>
      <c r="G659" s="21"/>
    </row>
    <row r="660" spans="2:7" s="32" customFormat="1" x14ac:dyDescent="0.25">
      <c r="B660" s="39"/>
      <c r="D660" s="59"/>
      <c r="E660" s="68"/>
      <c r="F660" s="95"/>
      <c r="G660" s="21"/>
    </row>
    <row r="661" spans="2:7" s="32" customFormat="1" x14ac:dyDescent="0.25">
      <c r="B661" s="39"/>
      <c r="D661" s="59"/>
      <c r="E661" s="68"/>
      <c r="F661" s="95"/>
      <c r="G661" s="21"/>
    </row>
    <row r="662" spans="2:7" s="32" customFormat="1" x14ac:dyDescent="0.25">
      <c r="B662" s="39"/>
      <c r="D662" s="59"/>
      <c r="E662" s="68"/>
      <c r="F662" s="95"/>
      <c r="G662" s="21"/>
    </row>
    <row r="663" spans="2:7" s="32" customFormat="1" x14ac:dyDescent="0.25">
      <c r="B663" s="39"/>
      <c r="D663" s="59"/>
      <c r="E663" s="68"/>
      <c r="F663" s="95"/>
      <c r="G663" s="21"/>
    </row>
    <row r="664" spans="2:7" s="32" customFormat="1" x14ac:dyDescent="0.25">
      <c r="B664" s="39"/>
      <c r="D664" s="59"/>
      <c r="E664" s="68"/>
      <c r="F664" s="95"/>
      <c r="G664" s="21"/>
    </row>
    <row r="665" spans="2:7" s="32" customFormat="1" x14ac:dyDescent="0.25">
      <c r="B665" s="39"/>
      <c r="D665" s="59"/>
      <c r="E665" s="68"/>
      <c r="F665" s="95"/>
      <c r="G665" s="21"/>
    </row>
    <row r="666" spans="2:7" s="32" customFormat="1" x14ac:dyDescent="0.25">
      <c r="B666" s="39"/>
      <c r="D666" s="59"/>
      <c r="E666" s="68"/>
      <c r="F666" s="95"/>
      <c r="G666" s="21"/>
    </row>
    <row r="667" spans="2:7" s="32" customFormat="1" x14ac:dyDescent="0.25">
      <c r="B667" s="39"/>
      <c r="D667" s="59"/>
      <c r="E667" s="68"/>
      <c r="F667" s="95"/>
      <c r="G667" s="21"/>
    </row>
    <row r="668" spans="2:7" s="32" customFormat="1" x14ac:dyDescent="0.25">
      <c r="B668" s="39"/>
      <c r="D668" s="59"/>
      <c r="E668" s="68"/>
      <c r="F668" s="95"/>
      <c r="G668" s="21"/>
    </row>
    <row r="669" spans="2:7" s="32" customFormat="1" x14ac:dyDescent="0.25">
      <c r="B669" s="39"/>
      <c r="D669" s="59"/>
      <c r="E669" s="68"/>
      <c r="F669" s="95"/>
      <c r="G669" s="21"/>
    </row>
    <row r="670" spans="2:7" s="32" customFormat="1" x14ac:dyDescent="0.25">
      <c r="B670" s="39"/>
      <c r="D670" s="59"/>
      <c r="E670" s="68"/>
      <c r="F670" s="95"/>
      <c r="G670" s="21"/>
    </row>
    <row r="671" spans="2:7" s="32" customFormat="1" x14ac:dyDescent="0.25">
      <c r="B671" s="39"/>
      <c r="D671" s="59"/>
      <c r="E671" s="68"/>
      <c r="F671" s="95"/>
      <c r="G671" s="21"/>
    </row>
    <row r="672" spans="2:7" s="32" customFormat="1" x14ac:dyDescent="0.25">
      <c r="B672" s="39"/>
      <c r="D672" s="59"/>
      <c r="E672" s="68"/>
      <c r="F672" s="95"/>
      <c r="G672" s="21"/>
    </row>
    <row r="673" spans="2:7" s="32" customFormat="1" x14ac:dyDescent="0.25">
      <c r="B673" s="39"/>
      <c r="D673" s="59"/>
      <c r="E673" s="68"/>
      <c r="F673" s="95"/>
      <c r="G673" s="21"/>
    </row>
    <row r="674" spans="2:7" s="32" customFormat="1" x14ac:dyDescent="0.25">
      <c r="B674" s="39"/>
      <c r="D674" s="59"/>
      <c r="E674" s="68"/>
      <c r="F674" s="95"/>
      <c r="G674" s="21"/>
    </row>
    <row r="675" spans="2:7" s="32" customFormat="1" x14ac:dyDescent="0.25">
      <c r="B675" s="39"/>
      <c r="D675" s="59"/>
      <c r="E675" s="68"/>
      <c r="F675" s="95"/>
      <c r="G675" s="21"/>
    </row>
    <row r="676" spans="2:7" s="32" customFormat="1" x14ac:dyDescent="0.25">
      <c r="B676" s="39"/>
      <c r="D676" s="59"/>
      <c r="E676" s="68"/>
      <c r="F676" s="95"/>
      <c r="G676" s="21"/>
    </row>
    <row r="677" spans="2:7" s="32" customFormat="1" x14ac:dyDescent="0.25">
      <c r="B677" s="39"/>
      <c r="D677" s="59"/>
      <c r="E677" s="68"/>
      <c r="F677" s="95"/>
      <c r="G677" s="21"/>
    </row>
    <row r="678" spans="2:7" s="32" customFormat="1" x14ac:dyDescent="0.25">
      <c r="B678" s="39"/>
      <c r="D678" s="59"/>
      <c r="E678" s="68"/>
      <c r="F678" s="95"/>
      <c r="G678" s="21"/>
    </row>
    <row r="679" spans="2:7" s="32" customFormat="1" x14ac:dyDescent="0.25">
      <c r="B679" s="39"/>
      <c r="D679" s="59"/>
      <c r="E679" s="68"/>
      <c r="F679" s="95"/>
      <c r="G679" s="21"/>
    </row>
    <row r="680" spans="2:7" s="32" customFormat="1" x14ac:dyDescent="0.25">
      <c r="B680" s="39"/>
      <c r="D680" s="59"/>
      <c r="E680" s="68"/>
      <c r="F680" s="95"/>
      <c r="G680" s="21"/>
    </row>
    <row r="681" spans="2:7" s="32" customFormat="1" x14ac:dyDescent="0.25">
      <c r="B681" s="39"/>
      <c r="D681" s="59"/>
      <c r="E681" s="68"/>
      <c r="F681" s="95"/>
      <c r="G681" s="21"/>
    </row>
    <row r="682" spans="2:7" s="32" customFormat="1" x14ac:dyDescent="0.25">
      <c r="B682" s="39"/>
      <c r="D682" s="59"/>
      <c r="E682" s="68"/>
      <c r="F682" s="95"/>
      <c r="G682" s="21"/>
    </row>
    <row r="683" spans="2:7" s="32" customFormat="1" x14ac:dyDescent="0.25">
      <c r="B683" s="39"/>
      <c r="D683" s="59"/>
      <c r="E683" s="68"/>
      <c r="F683" s="95"/>
      <c r="G683" s="21"/>
    </row>
    <row r="684" spans="2:7" s="32" customFormat="1" x14ac:dyDescent="0.25">
      <c r="B684" s="39"/>
      <c r="D684" s="59"/>
      <c r="E684" s="68"/>
      <c r="F684" s="95"/>
      <c r="G684" s="21"/>
    </row>
    <row r="685" spans="2:7" s="32" customFormat="1" x14ac:dyDescent="0.25">
      <c r="B685" s="39"/>
      <c r="D685" s="59"/>
      <c r="E685" s="68"/>
      <c r="F685" s="95"/>
      <c r="G685" s="21"/>
    </row>
    <row r="686" spans="2:7" s="32" customFormat="1" x14ac:dyDescent="0.25">
      <c r="B686" s="39"/>
      <c r="D686" s="59"/>
      <c r="E686" s="68"/>
      <c r="F686" s="95"/>
      <c r="G686" s="21"/>
    </row>
    <row r="687" spans="2:7" s="32" customFormat="1" x14ac:dyDescent="0.25">
      <c r="B687" s="39"/>
      <c r="D687" s="59"/>
      <c r="E687" s="68"/>
      <c r="F687" s="95"/>
      <c r="G687" s="21"/>
    </row>
    <row r="688" spans="2:7" s="32" customFormat="1" x14ac:dyDescent="0.25">
      <c r="B688" s="39"/>
      <c r="D688" s="59"/>
      <c r="E688" s="68"/>
      <c r="F688" s="95"/>
      <c r="G688" s="21"/>
    </row>
    <row r="689" spans="2:7" s="32" customFormat="1" x14ac:dyDescent="0.25">
      <c r="B689" s="39"/>
      <c r="D689" s="59"/>
      <c r="E689" s="68"/>
      <c r="F689" s="95"/>
      <c r="G689" s="21"/>
    </row>
    <row r="690" spans="2:7" s="32" customFormat="1" x14ac:dyDescent="0.25">
      <c r="B690" s="39"/>
      <c r="D690" s="59"/>
      <c r="E690" s="68"/>
      <c r="F690" s="95"/>
      <c r="G690" s="21"/>
    </row>
    <row r="691" spans="2:7" s="32" customFormat="1" x14ac:dyDescent="0.25">
      <c r="B691" s="39"/>
      <c r="D691" s="59"/>
      <c r="E691" s="68"/>
      <c r="F691" s="95"/>
      <c r="G691" s="21"/>
    </row>
    <row r="692" spans="2:7" s="32" customFormat="1" x14ac:dyDescent="0.25">
      <c r="B692" s="39"/>
      <c r="D692" s="59"/>
      <c r="E692" s="68"/>
      <c r="F692" s="95"/>
      <c r="G692" s="21"/>
    </row>
    <row r="693" spans="2:7" s="32" customFormat="1" x14ac:dyDescent="0.25">
      <c r="B693" s="39"/>
      <c r="D693" s="59"/>
      <c r="E693" s="68"/>
      <c r="F693" s="95"/>
      <c r="G693" s="21"/>
    </row>
    <row r="694" spans="2:7" s="32" customFormat="1" x14ac:dyDescent="0.25">
      <c r="B694" s="39"/>
      <c r="D694" s="59"/>
      <c r="E694" s="68"/>
      <c r="F694" s="95"/>
      <c r="G694" s="21"/>
    </row>
    <row r="695" spans="2:7" s="32" customFormat="1" x14ac:dyDescent="0.25">
      <c r="B695" s="39"/>
      <c r="D695" s="59"/>
      <c r="E695" s="68"/>
      <c r="F695" s="95"/>
      <c r="G695" s="21"/>
    </row>
    <row r="696" spans="2:7" s="32" customFormat="1" x14ac:dyDescent="0.25">
      <c r="B696" s="39"/>
      <c r="D696" s="59"/>
      <c r="E696" s="68"/>
      <c r="F696" s="95"/>
      <c r="G696" s="21"/>
    </row>
    <row r="697" spans="2:7" s="32" customFormat="1" x14ac:dyDescent="0.25">
      <c r="B697" s="39"/>
      <c r="D697" s="59"/>
      <c r="E697" s="68"/>
      <c r="F697" s="95"/>
      <c r="G697" s="21"/>
    </row>
    <row r="698" spans="2:7" s="32" customFormat="1" x14ac:dyDescent="0.25">
      <c r="B698" s="39"/>
      <c r="D698" s="59"/>
      <c r="E698" s="68"/>
      <c r="F698" s="95"/>
      <c r="G698" s="21"/>
    </row>
    <row r="699" spans="2:7" s="32" customFormat="1" x14ac:dyDescent="0.25">
      <c r="B699" s="39"/>
      <c r="D699" s="59"/>
      <c r="E699" s="68"/>
      <c r="F699" s="95"/>
      <c r="G699" s="21"/>
    </row>
    <row r="700" spans="2:7" s="32" customFormat="1" x14ac:dyDescent="0.25">
      <c r="B700" s="39"/>
      <c r="D700" s="59"/>
      <c r="E700" s="68"/>
      <c r="F700" s="95"/>
      <c r="G700" s="21"/>
    </row>
    <row r="701" spans="2:7" s="32" customFormat="1" x14ac:dyDescent="0.25">
      <c r="B701" s="39"/>
      <c r="D701" s="59"/>
      <c r="E701" s="68"/>
      <c r="F701" s="95"/>
      <c r="G701" s="21"/>
    </row>
    <row r="702" spans="2:7" s="32" customFormat="1" x14ac:dyDescent="0.25">
      <c r="B702" s="39"/>
      <c r="D702" s="59"/>
      <c r="E702" s="68"/>
      <c r="F702" s="95"/>
      <c r="G702" s="21"/>
    </row>
    <row r="703" spans="2:7" s="32" customFormat="1" x14ac:dyDescent="0.25">
      <c r="B703" s="39"/>
      <c r="D703" s="59"/>
      <c r="E703" s="68"/>
      <c r="F703" s="95"/>
      <c r="G703" s="21"/>
    </row>
    <row r="704" spans="2:7" s="32" customFormat="1" x14ac:dyDescent="0.25">
      <c r="B704" s="39"/>
      <c r="D704" s="59"/>
      <c r="E704" s="68"/>
      <c r="F704" s="95"/>
      <c r="G704" s="21"/>
    </row>
    <row r="705" spans="2:7" s="32" customFormat="1" x14ac:dyDescent="0.25">
      <c r="B705" s="39"/>
      <c r="D705" s="59"/>
      <c r="E705" s="68"/>
      <c r="F705" s="95"/>
      <c r="G705" s="21"/>
    </row>
    <row r="706" spans="2:7" s="32" customFormat="1" x14ac:dyDescent="0.25">
      <c r="B706" s="39"/>
      <c r="D706" s="59"/>
      <c r="E706" s="68"/>
      <c r="F706" s="95"/>
      <c r="G706" s="21"/>
    </row>
    <row r="707" spans="2:7" s="32" customFormat="1" x14ac:dyDescent="0.25">
      <c r="B707" s="39"/>
      <c r="D707" s="59"/>
      <c r="E707" s="68"/>
      <c r="F707" s="95"/>
      <c r="G707" s="21"/>
    </row>
    <row r="708" spans="2:7" s="32" customFormat="1" x14ac:dyDescent="0.25">
      <c r="B708" s="39"/>
      <c r="D708" s="59"/>
      <c r="E708" s="68"/>
      <c r="F708" s="95"/>
      <c r="G708" s="21"/>
    </row>
    <row r="709" spans="2:7" s="32" customFormat="1" x14ac:dyDescent="0.25">
      <c r="B709" s="39"/>
      <c r="D709" s="59"/>
      <c r="E709" s="68"/>
      <c r="F709" s="95"/>
      <c r="G709" s="21"/>
    </row>
    <row r="710" spans="2:7" s="32" customFormat="1" x14ac:dyDescent="0.25">
      <c r="B710" s="39"/>
      <c r="D710" s="59"/>
      <c r="E710" s="68"/>
      <c r="F710" s="95"/>
      <c r="G710" s="21"/>
    </row>
    <row r="711" spans="2:7" s="32" customFormat="1" x14ac:dyDescent="0.25">
      <c r="B711" s="39"/>
      <c r="D711" s="59"/>
      <c r="E711" s="68"/>
      <c r="F711" s="95"/>
      <c r="G711" s="21"/>
    </row>
    <row r="712" spans="2:7" s="32" customFormat="1" x14ac:dyDescent="0.25">
      <c r="B712" s="39"/>
      <c r="D712" s="59"/>
      <c r="E712" s="68"/>
      <c r="F712" s="95"/>
      <c r="G712" s="21"/>
    </row>
    <row r="713" spans="2:7" s="32" customFormat="1" x14ac:dyDescent="0.25">
      <c r="B713" s="39"/>
      <c r="D713" s="59"/>
      <c r="E713" s="68"/>
      <c r="F713" s="95"/>
      <c r="G713" s="21"/>
    </row>
    <row r="714" spans="2:7" s="32" customFormat="1" x14ac:dyDescent="0.25">
      <c r="B714" s="39"/>
      <c r="D714" s="59"/>
      <c r="E714" s="68"/>
      <c r="F714" s="95"/>
      <c r="G714" s="21"/>
    </row>
    <row r="715" spans="2:7" s="32" customFormat="1" x14ac:dyDescent="0.25">
      <c r="B715" s="39"/>
      <c r="D715" s="59"/>
      <c r="E715" s="68"/>
      <c r="F715" s="95"/>
      <c r="G715" s="21"/>
    </row>
    <row r="716" spans="2:7" s="32" customFormat="1" x14ac:dyDescent="0.25">
      <c r="B716" s="39"/>
      <c r="D716" s="59"/>
      <c r="E716" s="68"/>
      <c r="F716" s="95"/>
      <c r="G716" s="21"/>
    </row>
    <row r="717" spans="2:7" s="32" customFormat="1" x14ac:dyDescent="0.25">
      <c r="B717" s="39"/>
      <c r="D717" s="59"/>
      <c r="E717" s="68"/>
      <c r="F717" s="95"/>
      <c r="G717" s="21"/>
    </row>
    <row r="718" spans="2:7" s="32" customFormat="1" x14ac:dyDescent="0.25">
      <c r="B718" s="39"/>
      <c r="D718" s="59"/>
      <c r="E718" s="68"/>
      <c r="F718" s="95"/>
      <c r="G718" s="21"/>
    </row>
    <row r="719" spans="2:7" s="32" customFormat="1" x14ac:dyDescent="0.25">
      <c r="B719" s="39"/>
      <c r="D719" s="59"/>
      <c r="E719" s="68"/>
      <c r="F719" s="95"/>
      <c r="G719" s="21"/>
    </row>
    <row r="720" spans="2:7" s="32" customFormat="1" x14ac:dyDescent="0.25">
      <c r="B720" s="39"/>
      <c r="D720" s="59"/>
      <c r="E720" s="68"/>
      <c r="F720" s="95"/>
      <c r="G720" s="21"/>
    </row>
    <row r="721" spans="2:7" s="32" customFormat="1" x14ac:dyDescent="0.25">
      <c r="B721" s="39"/>
      <c r="D721" s="59"/>
      <c r="E721" s="68"/>
      <c r="F721" s="95"/>
      <c r="G721" s="21"/>
    </row>
    <row r="722" spans="2:7" s="32" customFormat="1" x14ac:dyDescent="0.25">
      <c r="B722" s="39"/>
      <c r="D722" s="59"/>
      <c r="E722" s="68"/>
      <c r="F722" s="95"/>
      <c r="G722" s="21"/>
    </row>
    <row r="723" spans="2:7" s="32" customFormat="1" x14ac:dyDescent="0.25">
      <c r="B723" s="39"/>
      <c r="D723" s="59"/>
      <c r="E723" s="68"/>
      <c r="F723" s="95"/>
      <c r="G723" s="21"/>
    </row>
    <row r="724" spans="2:7" s="32" customFormat="1" x14ac:dyDescent="0.25">
      <c r="B724" s="39"/>
      <c r="D724" s="59"/>
      <c r="E724" s="68"/>
      <c r="F724" s="95"/>
      <c r="G724" s="21"/>
    </row>
    <row r="725" spans="2:7" s="32" customFormat="1" x14ac:dyDescent="0.25">
      <c r="B725" s="39"/>
      <c r="D725" s="59"/>
      <c r="E725" s="68"/>
      <c r="F725" s="95"/>
      <c r="G725" s="21"/>
    </row>
    <row r="726" spans="2:7" s="32" customFormat="1" x14ac:dyDescent="0.25">
      <c r="B726" s="39"/>
      <c r="D726" s="59"/>
      <c r="E726" s="68"/>
      <c r="F726" s="95"/>
      <c r="G726" s="21"/>
    </row>
    <row r="727" spans="2:7" s="32" customFormat="1" x14ac:dyDescent="0.25">
      <c r="B727" s="39"/>
      <c r="D727" s="59"/>
      <c r="E727" s="68"/>
      <c r="F727" s="95"/>
      <c r="G727" s="21"/>
    </row>
    <row r="728" spans="2:7" s="32" customFormat="1" x14ac:dyDescent="0.25">
      <c r="B728" s="39"/>
      <c r="D728" s="59"/>
      <c r="E728" s="68"/>
      <c r="F728" s="95"/>
      <c r="G728" s="21"/>
    </row>
    <row r="729" spans="2:7" s="32" customFormat="1" x14ac:dyDescent="0.25">
      <c r="B729" s="39"/>
      <c r="D729" s="59"/>
      <c r="E729" s="68"/>
      <c r="F729" s="95"/>
      <c r="G729" s="21"/>
    </row>
    <row r="730" spans="2:7" s="32" customFormat="1" x14ac:dyDescent="0.25">
      <c r="B730" s="39"/>
      <c r="D730" s="59"/>
      <c r="E730" s="68"/>
      <c r="F730" s="95"/>
      <c r="G730" s="21"/>
    </row>
    <row r="731" spans="2:7" s="32" customFormat="1" x14ac:dyDescent="0.25">
      <c r="B731" s="39"/>
      <c r="D731" s="59"/>
      <c r="E731" s="68"/>
      <c r="F731" s="95"/>
      <c r="G731" s="21"/>
    </row>
    <row r="732" spans="2:7" s="32" customFormat="1" x14ac:dyDescent="0.25">
      <c r="B732" s="39"/>
      <c r="D732" s="59"/>
      <c r="E732" s="68"/>
      <c r="F732" s="95"/>
      <c r="G732" s="21"/>
    </row>
    <row r="733" spans="2:7" s="32" customFormat="1" x14ac:dyDescent="0.25">
      <c r="B733" s="39"/>
      <c r="D733" s="59"/>
      <c r="E733" s="68"/>
      <c r="F733" s="95"/>
      <c r="G733" s="21"/>
    </row>
    <row r="734" spans="2:7" s="32" customFormat="1" x14ac:dyDescent="0.25">
      <c r="B734" s="39"/>
      <c r="D734" s="59"/>
      <c r="E734" s="68"/>
      <c r="F734" s="95"/>
      <c r="G734" s="21"/>
    </row>
    <row r="735" spans="2:7" s="32" customFormat="1" x14ac:dyDescent="0.25">
      <c r="B735" s="39"/>
      <c r="D735" s="59"/>
      <c r="E735" s="68"/>
      <c r="F735" s="95"/>
      <c r="G735" s="21"/>
    </row>
    <row r="736" spans="2:7" s="32" customFormat="1" x14ac:dyDescent="0.25">
      <c r="B736" s="39"/>
      <c r="D736" s="59"/>
      <c r="E736" s="68"/>
      <c r="F736" s="95"/>
      <c r="G736" s="21"/>
    </row>
    <row r="737" spans="2:7" s="32" customFormat="1" x14ac:dyDescent="0.25">
      <c r="B737" s="39"/>
      <c r="D737" s="59"/>
      <c r="E737" s="68"/>
      <c r="F737" s="95"/>
      <c r="G737" s="21"/>
    </row>
    <row r="738" spans="2:7" s="32" customFormat="1" x14ac:dyDescent="0.25">
      <c r="B738" s="39"/>
      <c r="D738" s="59"/>
      <c r="E738" s="68"/>
      <c r="F738" s="95"/>
      <c r="G738" s="21"/>
    </row>
    <row r="739" spans="2:7" s="32" customFormat="1" x14ac:dyDescent="0.25">
      <c r="B739" s="39"/>
      <c r="D739" s="59"/>
      <c r="E739" s="68"/>
      <c r="F739" s="95"/>
      <c r="G739" s="21"/>
    </row>
    <row r="740" spans="2:7" s="32" customFormat="1" x14ac:dyDescent="0.25">
      <c r="B740" s="39"/>
      <c r="D740" s="59"/>
      <c r="E740" s="68"/>
      <c r="F740" s="95"/>
      <c r="G740" s="21"/>
    </row>
    <row r="741" spans="2:7" s="32" customFormat="1" x14ac:dyDescent="0.25">
      <c r="B741" s="39"/>
      <c r="D741" s="59"/>
      <c r="E741" s="68"/>
      <c r="F741" s="95"/>
      <c r="G741" s="21"/>
    </row>
    <row r="742" spans="2:7" s="32" customFormat="1" x14ac:dyDescent="0.25">
      <c r="B742" s="39"/>
      <c r="D742" s="59"/>
      <c r="E742" s="68"/>
      <c r="F742" s="95"/>
      <c r="G742" s="21"/>
    </row>
    <row r="743" spans="2:7" s="32" customFormat="1" x14ac:dyDescent="0.25">
      <c r="B743" s="39"/>
      <c r="D743" s="59"/>
      <c r="E743" s="68"/>
      <c r="F743" s="95"/>
      <c r="G743" s="21"/>
    </row>
    <row r="744" spans="2:7" s="32" customFormat="1" x14ac:dyDescent="0.25">
      <c r="B744" s="39"/>
      <c r="D744" s="59"/>
      <c r="E744" s="68"/>
      <c r="F744" s="95"/>
      <c r="G744" s="21"/>
    </row>
    <row r="745" spans="2:7" s="32" customFormat="1" x14ac:dyDescent="0.25">
      <c r="B745" s="39"/>
      <c r="D745" s="59"/>
      <c r="E745" s="68"/>
      <c r="F745" s="95"/>
      <c r="G745" s="21"/>
    </row>
    <row r="746" spans="2:7" s="32" customFormat="1" x14ac:dyDescent="0.25">
      <c r="B746" s="39"/>
      <c r="D746" s="59"/>
      <c r="E746" s="68"/>
      <c r="F746" s="95"/>
      <c r="G746" s="21"/>
    </row>
    <row r="747" spans="2:7" s="32" customFormat="1" x14ac:dyDescent="0.25">
      <c r="B747" s="39"/>
      <c r="D747" s="59"/>
      <c r="E747" s="68"/>
      <c r="F747" s="95"/>
      <c r="G747" s="21"/>
    </row>
    <row r="748" spans="2:7" s="32" customFormat="1" x14ac:dyDescent="0.25">
      <c r="B748" s="39"/>
      <c r="D748" s="59"/>
      <c r="E748" s="68"/>
      <c r="F748" s="95"/>
      <c r="G748" s="21"/>
    </row>
    <row r="749" spans="2:7" s="32" customFormat="1" x14ac:dyDescent="0.25">
      <c r="B749" s="39"/>
      <c r="D749" s="59"/>
      <c r="E749" s="68"/>
      <c r="F749" s="95"/>
      <c r="G749" s="21"/>
    </row>
    <row r="750" spans="2:7" s="32" customFormat="1" x14ac:dyDescent="0.25">
      <c r="B750" s="39"/>
      <c r="D750" s="59"/>
      <c r="E750" s="68"/>
      <c r="F750" s="95"/>
      <c r="G750" s="21"/>
    </row>
    <row r="751" spans="2:7" s="32" customFormat="1" x14ac:dyDescent="0.25">
      <c r="B751" s="39"/>
      <c r="D751" s="59"/>
      <c r="E751" s="68"/>
      <c r="F751" s="95"/>
      <c r="G751" s="21"/>
    </row>
    <row r="752" spans="2:7" s="32" customFormat="1" x14ac:dyDescent="0.25">
      <c r="B752" s="39"/>
      <c r="D752" s="59"/>
      <c r="E752" s="68"/>
      <c r="F752" s="95"/>
      <c r="G752" s="21"/>
    </row>
    <row r="753" spans="2:7" s="32" customFormat="1" x14ac:dyDescent="0.25">
      <c r="B753" s="39"/>
      <c r="D753" s="59"/>
      <c r="E753" s="68"/>
      <c r="F753" s="95"/>
      <c r="G753" s="21"/>
    </row>
    <row r="754" spans="2:7" s="32" customFormat="1" x14ac:dyDescent="0.25">
      <c r="B754" s="39"/>
      <c r="D754" s="59"/>
      <c r="E754" s="68"/>
      <c r="F754" s="95"/>
      <c r="G754" s="21"/>
    </row>
    <row r="755" spans="2:7" s="32" customFormat="1" x14ac:dyDescent="0.25">
      <c r="B755" s="39"/>
      <c r="D755" s="59"/>
      <c r="E755" s="68"/>
      <c r="F755" s="95"/>
      <c r="G755" s="21"/>
    </row>
    <row r="756" spans="2:7" s="32" customFormat="1" x14ac:dyDescent="0.25">
      <c r="B756" s="39"/>
      <c r="D756" s="59"/>
      <c r="E756" s="68"/>
      <c r="F756" s="95"/>
      <c r="G756" s="21"/>
    </row>
    <row r="757" spans="2:7" s="32" customFormat="1" x14ac:dyDescent="0.25">
      <c r="B757" s="39"/>
      <c r="D757" s="59"/>
      <c r="E757" s="68"/>
      <c r="F757" s="95"/>
      <c r="G757" s="21"/>
    </row>
    <row r="758" spans="2:7" s="32" customFormat="1" x14ac:dyDescent="0.25">
      <c r="B758" s="39"/>
      <c r="D758" s="59"/>
      <c r="E758" s="68"/>
      <c r="F758" s="95"/>
      <c r="G758" s="21"/>
    </row>
    <row r="759" spans="2:7" s="32" customFormat="1" x14ac:dyDescent="0.25">
      <c r="B759" s="39"/>
      <c r="D759" s="59"/>
      <c r="E759" s="68"/>
      <c r="F759" s="95"/>
      <c r="G759" s="21"/>
    </row>
    <row r="760" spans="2:7" s="32" customFormat="1" x14ac:dyDescent="0.25">
      <c r="B760" s="39"/>
      <c r="D760" s="59"/>
      <c r="E760" s="68"/>
      <c r="F760" s="95"/>
      <c r="G760" s="21"/>
    </row>
    <row r="761" spans="2:7" s="32" customFormat="1" x14ac:dyDescent="0.25">
      <c r="B761" s="39"/>
      <c r="D761" s="59"/>
      <c r="E761" s="68"/>
      <c r="F761" s="95"/>
      <c r="G761" s="21"/>
    </row>
    <row r="762" spans="2:7" s="32" customFormat="1" x14ac:dyDescent="0.25">
      <c r="B762" s="39"/>
      <c r="D762" s="59"/>
      <c r="E762" s="68"/>
      <c r="F762" s="95"/>
      <c r="G762" s="21"/>
    </row>
    <row r="763" spans="2:7" s="32" customFormat="1" x14ac:dyDescent="0.25">
      <c r="B763" s="39"/>
      <c r="D763" s="59"/>
      <c r="E763" s="68"/>
      <c r="F763" s="95"/>
      <c r="G763" s="21"/>
    </row>
    <row r="764" spans="2:7" s="32" customFormat="1" x14ac:dyDescent="0.25">
      <c r="B764" s="39"/>
      <c r="D764" s="59"/>
      <c r="E764" s="68"/>
      <c r="F764" s="95"/>
      <c r="G764" s="21"/>
    </row>
    <row r="765" spans="2:7" s="32" customFormat="1" x14ac:dyDescent="0.25">
      <c r="B765" s="39"/>
      <c r="D765" s="59"/>
      <c r="E765" s="68"/>
      <c r="F765" s="95"/>
      <c r="G765" s="21"/>
    </row>
    <row r="766" spans="2:7" s="32" customFormat="1" x14ac:dyDescent="0.25">
      <c r="B766" s="39"/>
      <c r="D766" s="59"/>
      <c r="E766" s="68"/>
      <c r="F766" s="95"/>
      <c r="G766" s="21"/>
    </row>
    <row r="767" spans="2:7" s="32" customFormat="1" x14ac:dyDescent="0.25">
      <c r="B767" s="39"/>
      <c r="D767" s="59"/>
      <c r="E767" s="68"/>
      <c r="F767" s="95"/>
      <c r="G767" s="21"/>
    </row>
    <row r="768" spans="2:7" s="32" customFormat="1" x14ac:dyDescent="0.25">
      <c r="B768" s="39"/>
      <c r="D768" s="59"/>
      <c r="E768" s="68"/>
      <c r="F768" s="95"/>
      <c r="G768" s="21"/>
    </row>
    <row r="769" spans="2:7" s="32" customFormat="1" x14ac:dyDescent="0.25">
      <c r="B769" s="39"/>
      <c r="D769" s="59"/>
      <c r="E769" s="68"/>
      <c r="F769" s="95"/>
      <c r="G769" s="21"/>
    </row>
    <row r="770" spans="2:7" s="32" customFormat="1" x14ac:dyDescent="0.25">
      <c r="B770" s="39"/>
      <c r="D770" s="59"/>
      <c r="E770" s="68"/>
      <c r="F770" s="95"/>
      <c r="G770" s="21"/>
    </row>
    <row r="771" spans="2:7" s="32" customFormat="1" x14ac:dyDescent="0.25">
      <c r="B771" s="39"/>
      <c r="D771" s="59"/>
      <c r="E771" s="68"/>
      <c r="F771" s="95"/>
      <c r="G771" s="21"/>
    </row>
    <row r="772" spans="2:7" s="32" customFormat="1" x14ac:dyDescent="0.25">
      <c r="B772" s="39"/>
      <c r="D772" s="59"/>
      <c r="E772" s="68"/>
      <c r="F772" s="95"/>
      <c r="G772" s="21"/>
    </row>
    <row r="773" spans="2:7" s="32" customFormat="1" x14ac:dyDescent="0.25">
      <c r="B773" s="39"/>
      <c r="D773" s="59"/>
      <c r="E773" s="68"/>
      <c r="F773" s="95"/>
      <c r="G773" s="21"/>
    </row>
    <row r="774" spans="2:7" s="32" customFormat="1" x14ac:dyDescent="0.25">
      <c r="B774" s="39"/>
      <c r="D774" s="59"/>
      <c r="E774" s="68"/>
      <c r="F774" s="95"/>
      <c r="G774" s="21"/>
    </row>
    <row r="775" spans="2:7" s="32" customFormat="1" x14ac:dyDescent="0.25">
      <c r="B775" s="39"/>
      <c r="D775" s="59"/>
      <c r="E775" s="68"/>
      <c r="F775" s="95"/>
      <c r="G775" s="21"/>
    </row>
    <row r="776" spans="2:7" s="32" customFormat="1" x14ac:dyDescent="0.25">
      <c r="B776" s="39"/>
      <c r="D776" s="59"/>
      <c r="E776" s="68"/>
      <c r="F776" s="95"/>
      <c r="G776" s="21"/>
    </row>
    <row r="777" spans="2:7" s="32" customFormat="1" x14ac:dyDescent="0.25">
      <c r="B777" s="39"/>
      <c r="D777" s="59"/>
      <c r="E777" s="68"/>
      <c r="F777" s="95"/>
      <c r="G777" s="21"/>
    </row>
    <row r="778" spans="2:7" s="32" customFormat="1" x14ac:dyDescent="0.25">
      <c r="B778" s="39"/>
      <c r="D778" s="59"/>
      <c r="E778" s="68"/>
      <c r="F778" s="95"/>
      <c r="G778" s="21"/>
    </row>
    <row r="779" spans="2:7" s="32" customFormat="1" x14ac:dyDescent="0.25">
      <c r="B779" s="39"/>
      <c r="D779" s="59"/>
      <c r="E779" s="68"/>
      <c r="F779" s="95"/>
      <c r="G779" s="21"/>
    </row>
    <row r="780" spans="2:7" s="32" customFormat="1" x14ac:dyDescent="0.25">
      <c r="B780" s="39"/>
      <c r="D780" s="59"/>
      <c r="E780" s="68"/>
      <c r="F780" s="95"/>
      <c r="G780" s="21"/>
    </row>
    <row r="781" spans="2:7" s="32" customFormat="1" x14ac:dyDescent="0.25">
      <c r="B781" s="39"/>
      <c r="D781" s="59"/>
      <c r="E781" s="68"/>
      <c r="F781" s="95"/>
      <c r="G781" s="21"/>
    </row>
    <row r="782" spans="2:7" s="32" customFormat="1" x14ac:dyDescent="0.25">
      <c r="B782" s="39"/>
      <c r="D782" s="59"/>
      <c r="E782" s="68"/>
      <c r="F782" s="95"/>
      <c r="G782" s="21"/>
    </row>
    <row r="783" spans="2:7" s="32" customFormat="1" x14ac:dyDescent="0.25">
      <c r="B783" s="39"/>
      <c r="D783" s="59"/>
      <c r="E783" s="68"/>
      <c r="F783" s="95"/>
      <c r="G783" s="21"/>
    </row>
    <row r="784" spans="2:7" s="32" customFormat="1" x14ac:dyDescent="0.25">
      <c r="B784" s="39"/>
      <c r="D784" s="59"/>
      <c r="E784" s="68"/>
      <c r="F784" s="95"/>
      <c r="G784" s="21"/>
    </row>
    <row r="785" spans="2:7" s="32" customFormat="1" x14ac:dyDescent="0.25">
      <c r="B785" s="39"/>
      <c r="D785" s="59"/>
      <c r="E785" s="68"/>
      <c r="F785" s="95"/>
      <c r="G785" s="21"/>
    </row>
    <row r="786" spans="2:7" s="32" customFormat="1" x14ac:dyDescent="0.25">
      <c r="B786" s="39"/>
      <c r="D786" s="59"/>
      <c r="E786" s="68"/>
      <c r="F786" s="95"/>
      <c r="G786" s="21"/>
    </row>
    <row r="787" spans="2:7" s="32" customFormat="1" x14ac:dyDescent="0.25">
      <c r="B787" s="39"/>
      <c r="D787" s="59"/>
      <c r="E787" s="68"/>
      <c r="F787" s="95"/>
      <c r="G787" s="21"/>
    </row>
    <row r="788" spans="2:7" s="32" customFormat="1" x14ac:dyDescent="0.25">
      <c r="B788" s="39"/>
      <c r="D788" s="59"/>
      <c r="E788" s="68"/>
      <c r="F788" s="95"/>
      <c r="G788" s="21"/>
    </row>
    <row r="789" spans="2:7" s="32" customFormat="1" x14ac:dyDescent="0.25">
      <c r="B789" s="39"/>
      <c r="D789" s="59"/>
      <c r="E789" s="68"/>
      <c r="F789" s="95"/>
      <c r="G789" s="21"/>
    </row>
    <row r="790" spans="2:7" s="32" customFormat="1" x14ac:dyDescent="0.25">
      <c r="B790" s="39"/>
      <c r="D790" s="59"/>
      <c r="E790" s="68"/>
      <c r="F790" s="95"/>
      <c r="G790" s="21"/>
    </row>
    <row r="791" spans="2:7" s="32" customFormat="1" x14ac:dyDescent="0.25">
      <c r="B791" s="39"/>
      <c r="D791" s="59"/>
      <c r="E791" s="68"/>
      <c r="F791" s="95"/>
      <c r="G791" s="21"/>
    </row>
    <row r="792" spans="2:7" s="32" customFormat="1" x14ac:dyDescent="0.25">
      <c r="B792" s="39"/>
      <c r="D792" s="59"/>
      <c r="E792" s="68"/>
      <c r="F792" s="95"/>
      <c r="G792" s="21"/>
    </row>
    <row r="793" spans="2:7" s="32" customFormat="1" x14ac:dyDescent="0.25">
      <c r="B793" s="39"/>
      <c r="D793" s="59"/>
      <c r="E793" s="68"/>
      <c r="F793" s="95"/>
      <c r="G793" s="21"/>
    </row>
    <row r="794" spans="2:7" s="32" customFormat="1" x14ac:dyDescent="0.25">
      <c r="B794" s="39"/>
      <c r="D794" s="59"/>
      <c r="E794" s="68"/>
      <c r="F794" s="95"/>
      <c r="G794" s="21"/>
    </row>
    <row r="795" spans="2:7" s="32" customFormat="1" x14ac:dyDescent="0.25">
      <c r="B795" s="39"/>
      <c r="D795" s="59"/>
      <c r="E795" s="68"/>
      <c r="F795" s="95"/>
      <c r="G795" s="21"/>
    </row>
    <row r="796" spans="2:7" s="32" customFormat="1" x14ac:dyDescent="0.25">
      <c r="B796" s="39"/>
      <c r="D796" s="59"/>
      <c r="E796" s="68"/>
      <c r="F796" s="95"/>
      <c r="G796" s="21"/>
    </row>
    <row r="797" spans="2:7" s="32" customFormat="1" x14ac:dyDescent="0.25">
      <c r="B797" s="39"/>
      <c r="D797" s="59"/>
      <c r="E797" s="68"/>
      <c r="F797" s="95"/>
      <c r="G797" s="21"/>
    </row>
    <row r="798" spans="2:7" s="32" customFormat="1" x14ac:dyDescent="0.25">
      <c r="B798" s="39"/>
      <c r="D798" s="59"/>
      <c r="E798" s="68"/>
      <c r="F798" s="95"/>
      <c r="G798" s="21"/>
    </row>
    <row r="799" spans="2:7" s="32" customFormat="1" x14ac:dyDescent="0.25">
      <c r="B799" s="39"/>
      <c r="D799" s="59"/>
      <c r="E799" s="68"/>
      <c r="F799" s="95"/>
      <c r="G799" s="21"/>
    </row>
    <row r="800" spans="2:7" s="32" customFormat="1" x14ac:dyDescent="0.25">
      <c r="B800" s="39"/>
      <c r="D800" s="59"/>
      <c r="E800" s="68"/>
      <c r="F800" s="95"/>
      <c r="G800" s="21"/>
    </row>
    <row r="801" spans="2:7" s="32" customFormat="1" x14ac:dyDescent="0.25">
      <c r="B801" s="39"/>
      <c r="D801" s="59"/>
      <c r="E801" s="68"/>
      <c r="F801" s="95"/>
      <c r="G801" s="21"/>
    </row>
    <row r="802" spans="2:7" s="32" customFormat="1" x14ac:dyDescent="0.25">
      <c r="B802" s="39"/>
      <c r="D802" s="59"/>
      <c r="E802" s="68"/>
      <c r="F802" s="95"/>
      <c r="G802" s="21"/>
    </row>
    <row r="803" spans="2:7" s="32" customFormat="1" x14ac:dyDescent="0.25">
      <c r="B803" s="39"/>
      <c r="D803" s="59"/>
      <c r="E803" s="68"/>
      <c r="F803" s="95"/>
      <c r="G803" s="21"/>
    </row>
    <row r="804" spans="2:7" s="32" customFormat="1" x14ac:dyDescent="0.25">
      <c r="B804" s="39"/>
      <c r="D804" s="59"/>
      <c r="E804" s="68"/>
      <c r="F804" s="95"/>
      <c r="G804" s="21"/>
    </row>
    <row r="805" spans="2:7" s="32" customFormat="1" x14ac:dyDescent="0.25">
      <c r="B805" s="39"/>
      <c r="D805" s="59"/>
      <c r="E805" s="68"/>
      <c r="F805" s="95"/>
      <c r="G805" s="21"/>
    </row>
    <row r="806" spans="2:7" s="32" customFormat="1" x14ac:dyDescent="0.25">
      <c r="B806" s="39"/>
      <c r="D806" s="59"/>
      <c r="E806" s="68"/>
      <c r="F806" s="95"/>
      <c r="G806" s="21"/>
    </row>
    <row r="807" spans="2:7" s="32" customFormat="1" x14ac:dyDescent="0.25">
      <c r="B807" s="39"/>
      <c r="D807" s="59"/>
      <c r="E807" s="68"/>
      <c r="F807" s="95"/>
      <c r="G807" s="21"/>
    </row>
    <row r="808" spans="2:7" s="32" customFormat="1" x14ac:dyDescent="0.25">
      <c r="B808" s="39"/>
      <c r="D808" s="59"/>
      <c r="E808" s="68"/>
      <c r="F808" s="95"/>
      <c r="G808" s="21"/>
    </row>
    <row r="809" spans="2:7" s="32" customFormat="1" x14ac:dyDescent="0.25">
      <c r="B809" s="39"/>
      <c r="D809" s="59"/>
      <c r="E809" s="68"/>
      <c r="F809" s="95"/>
      <c r="G809" s="21"/>
    </row>
    <row r="810" spans="2:7" s="32" customFormat="1" x14ac:dyDescent="0.25">
      <c r="B810" s="39"/>
      <c r="D810" s="59"/>
      <c r="E810" s="68"/>
      <c r="F810" s="95"/>
      <c r="G810" s="21"/>
    </row>
    <row r="811" spans="2:7" s="32" customFormat="1" x14ac:dyDescent="0.25">
      <c r="B811" s="39"/>
      <c r="D811" s="59"/>
      <c r="E811" s="68"/>
      <c r="F811" s="95"/>
      <c r="G811" s="21"/>
    </row>
    <row r="812" spans="2:7" s="32" customFormat="1" x14ac:dyDescent="0.25">
      <c r="B812" s="39"/>
      <c r="D812" s="59"/>
      <c r="E812" s="68"/>
      <c r="F812" s="95"/>
      <c r="G812" s="21"/>
    </row>
    <row r="813" spans="2:7" s="32" customFormat="1" x14ac:dyDescent="0.25">
      <c r="B813" s="39"/>
      <c r="D813" s="59"/>
      <c r="E813" s="68"/>
      <c r="F813" s="95"/>
      <c r="G813" s="21"/>
    </row>
    <row r="814" spans="2:7" s="32" customFormat="1" x14ac:dyDescent="0.25">
      <c r="B814" s="39"/>
      <c r="D814" s="59"/>
      <c r="E814" s="68"/>
      <c r="F814" s="95"/>
      <c r="G814" s="21"/>
    </row>
    <row r="815" spans="2:7" s="32" customFormat="1" x14ac:dyDescent="0.25">
      <c r="B815" s="39"/>
      <c r="D815" s="59"/>
      <c r="E815" s="68"/>
      <c r="F815" s="95"/>
      <c r="G815" s="21"/>
    </row>
    <row r="816" spans="2:7" s="32" customFormat="1" x14ac:dyDescent="0.25">
      <c r="B816" s="39"/>
      <c r="D816" s="59"/>
      <c r="E816" s="68"/>
      <c r="F816" s="95"/>
      <c r="G816" s="21"/>
    </row>
    <row r="817" spans="2:7" s="32" customFormat="1" x14ac:dyDescent="0.25">
      <c r="B817" s="39"/>
      <c r="D817" s="59"/>
      <c r="E817" s="68"/>
      <c r="F817" s="95"/>
      <c r="G817" s="21"/>
    </row>
    <row r="818" spans="2:7" s="32" customFormat="1" x14ac:dyDescent="0.25">
      <c r="B818" s="39"/>
      <c r="D818" s="59"/>
      <c r="E818" s="68"/>
      <c r="F818" s="95"/>
      <c r="G818" s="21"/>
    </row>
    <row r="819" spans="2:7" s="32" customFormat="1" x14ac:dyDescent="0.25">
      <c r="B819" s="39"/>
      <c r="D819" s="59"/>
      <c r="E819" s="68"/>
      <c r="F819" s="95"/>
      <c r="G819" s="21"/>
    </row>
    <row r="820" spans="2:7" s="32" customFormat="1" x14ac:dyDescent="0.25">
      <c r="B820" s="39"/>
      <c r="D820" s="59"/>
      <c r="E820" s="68"/>
      <c r="F820" s="95"/>
      <c r="G820" s="21"/>
    </row>
    <row r="821" spans="2:7" s="32" customFormat="1" x14ac:dyDescent="0.25">
      <c r="B821" s="39"/>
      <c r="D821" s="59"/>
      <c r="E821" s="68"/>
      <c r="F821" s="95"/>
      <c r="G821" s="21"/>
    </row>
    <row r="822" spans="2:7" s="32" customFormat="1" x14ac:dyDescent="0.25">
      <c r="B822" s="39"/>
      <c r="D822" s="59"/>
      <c r="E822" s="68"/>
      <c r="F822" s="95"/>
      <c r="G822" s="21"/>
    </row>
    <row r="823" spans="2:7" s="32" customFormat="1" x14ac:dyDescent="0.25">
      <c r="B823" s="39"/>
      <c r="D823" s="59"/>
      <c r="E823" s="68"/>
      <c r="F823" s="95"/>
      <c r="G823" s="21"/>
    </row>
    <row r="824" spans="2:7" s="32" customFormat="1" x14ac:dyDescent="0.25">
      <c r="B824" s="39"/>
      <c r="D824" s="59"/>
      <c r="E824" s="68"/>
      <c r="F824" s="95"/>
      <c r="G824" s="21"/>
    </row>
    <row r="825" spans="2:7" s="32" customFormat="1" x14ac:dyDescent="0.25">
      <c r="B825" s="39"/>
      <c r="D825" s="59"/>
      <c r="E825" s="68"/>
      <c r="F825" s="95"/>
      <c r="G825" s="21"/>
    </row>
    <row r="826" spans="2:7" s="32" customFormat="1" x14ac:dyDescent="0.25">
      <c r="B826" s="39"/>
      <c r="D826" s="59"/>
      <c r="E826" s="68"/>
      <c r="F826" s="95"/>
      <c r="G826" s="21"/>
    </row>
    <row r="827" spans="2:7" s="32" customFormat="1" x14ac:dyDescent="0.25">
      <c r="B827" s="39"/>
      <c r="D827" s="59"/>
      <c r="E827" s="68"/>
      <c r="F827" s="95"/>
      <c r="G827" s="21"/>
    </row>
    <row r="828" spans="2:7" s="32" customFormat="1" x14ac:dyDescent="0.25">
      <c r="B828" s="39"/>
      <c r="D828" s="59"/>
      <c r="E828" s="68"/>
      <c r="F828" s="95"/>
      <c r="G828" s="21"/>
    </row>
    <row r="829" spans="2:7" s="32" customFormat="1" x14ac:dyDescent="0.25">
      <c r="B829" s="39"/>
      <c r="D829" s="59"/>
      <c r="E829" s="68"/>
      <c r="F829" s="95"/>
      <c r="G829" s="21"/>
    </row>
    <row r="830" spans="2:7" s="32" customFormat="1" x14ac:dyDescent="0.25">
      <c r="B830" s="39"/>
      <c r="D830" s="59"/>
      <c r="E830" s="68"/>
      <c r="F830" s="95"/>
      <c r="G830" s="21"/>
    </row>
    <row r="831" spans="2:7" s="32" customFormat="1" x14ac:dyDescent="0.25">
      <c r="B831" s="39"/>
      <c r="D831" s="59"/>
      <c r="E831" s="68"/>
      <c r="F831" s="95"/>
      <c r="G831" s="21"/>
    </row>
    <row r="832" spans="2:7" s="32" customFormat="1" x14ac:dyDescent="0.25">
      <c r="B832" s="39"/>
      <c r="D832" s="59"/>
      <c r="E832" s="68"/>
      <c r="F832" s="95"/>
      <c r="G832" s="21"/>
    </row>
    <row r="833" spans="2:7" s="32" customFormat="1" x14ac:dyDescent="0.25">
      <c r="B833" s="39"/>
      <c r="D833" s="59"/>
      <c r="E833" s="68"/>
      <c r="F833" s="95"/>
      <c r="G833" s="21"/>
    </row>
    <row r="834" spans="2:7" s="32" customFormat="1" x14ac:dyDescent="0.25">
      <c r="B834" s="39"/>
      <c r="D834" s="59"/>
      <c r="E834" s="68"/>
      <c r="F834" s="95"/>
      <c r="G834" s="21"/>
    </row>
    <row r="835" spans="2:7" s="32" customFormat="1" x14ac:dyDescent="0.25">
      <c r="B835" s="39"/>
      <c r="D835" s="59"/>
      <c r="E835" s="68"/>
      <c r="F835" s="95"/>
      <c r="G835" s="21"/>
    </row>
    <row r="836" spans="2:7" s="32" customFormat="1" x14ac:dyDescent="0.25">
      <c r="B836" s="39"/>
      <c r="D836" s="59"/>
      <c r="E836" s="68"/>
      <c r="F836" s="95"/>
      <c r="G836" s="21"/>
    </row>
    <row r="837" spans="2:7" s="32" customFormat="1" x14ac:dyDescent="0.25">
      <c r="B837" s="39"/>
      <c r="D837" s="59"/>
      <c r="E837" s="68"/>
      <c r="F837" s="95"/>
      <c r="G837" s="21"/>
    </row>
    <row r="838" spans="2:7" s="32" customFormat="1" x14ac:dyDescent="0.25">
      <c r="B838" s="39"/>
      <c r="D838" s="59"/>
      <c r="E838" s="68"/>
      <c r="F838" s="95"/>
      <c r="G838" s="21"/>
    </row>
    <row r="839" spans="2:7" s="32" customFormat="1" x14ac:dyDescent="0.25">
      <c r="B839" s="39"/>
      <c r="D839" s="59"/>
      <c r="E839" s="68"/>
      <c r="F839" s="95"/>
      <c r="G839" s="21"/>
    </row>
    <row r="840" spans="2:7" s="32" customFormat="1" x14ac:dyDescent="0.25">
      <c r="B840" s="39"/>
      <c r="D840" s="59"/>
      <c r="E840" s="68"/>
      <c r="F840" s="95"/>
      <c r="G840" s="21"/>
    </row>
    <row r="841" spans="2:7" s="32" customFormat="1" x14ac:dyDescent="0.25">
      <c r="B841" s="39"/>
      <c r="D841" s="59"/>
      <c r="E841" s="68"/>
      <c r="F841" s="95"/>
      <c r="G841" s="21"/>
    </row>
    <row r="842" spans="2:7" s="32" customFormat="1" x14ac:dyDescent="0.25">
      <c r="B842" s="39"/>
      <c r="D842" s="59"/>
      <c r="E842" s="68"/>
      <c r="F842" s="95"/>
      <c r="G842" s="21"/>
    </row>
    <row r="843" spans="2:7" s="32" customFormat="1" x14ac:dyDescent="0.25">
      <c r="B843" s="39"/>
      <c r="D843" s="59"/>
      <c r="E843" s="68"/>
      <c r="F843" s="95"/>
      <c r="G843" s="21"/>
    </row>
    <row r="844" spans="2:7" s="32" customFormat="1" x14ac:dyDescent="0.25">
      <c r="B844" s="39"/>
      <c r="D844" s="59"/>
      <c r="E844" s="68"/>
      <c r="F844" s="95"/>
      <c r="G844" s="21"/>
    </row>
    <row r="845" spans="2:7" s="32" customFormat="1" x14ac:dyDescent="0.25">
      <c r="B845" s="39"/>
      <c r="D845" s="59"/>
      <c r="E845" s="68"/>
      <c r="F845" s="95"/>
      <c r="G845" s="21"/>
    </row>
    <row r="846" spans="2:7" s="32" customFormat="1" x14ac:dyDescent="0.25">
      <c r="B846" s="39"/>
      <c r="D846" s="59"/>
      <c r="E846" s="68"/>
      <c r="F846" s="95"/>
      <c r="G846" s="21"/>
    </row>
    <row r="847" spans="2:7" s="32" customFormat="1" x14ac:dyDescent="0.25">
      <c r="B847" s="39"/>
      <c r="D847" s="59"/>
      <c r="E847" s="68"/>
      <c r="F847" s="95"/>
      <c r="G847" s="21"/>
    </row>
    <row r="848" spans="2:7" s="32" customFormat="1" x14ac:dyDescent="0.25">
      <c r="B848" s="39"/>
      <c r="D848" s="59"/>
      <c r="E848" s="68"/>
      <c r="F848" s="95"/>
      <c r="G848" s="21"/>
    </row>
    <row r="849" spans="2:7" s="32" customFormat="1" x14ac:dyDescent="0.25">
      <c r="B849" s="39"/>
      <c r="D849" s="59"/>
      <c r="E849" s="68"/>
      <c r="F849" s="95"/>
      <c r="G849" s="21"/>
    </row>
    <row r="850" spans="2:7" s="32" customFormat="1" x14ac:dyDescent="0.25">
      <c r="B850" s="39"/>
      <c r="D850" s="59"/>
      <c r="E850" s="68"/>
      <c r="F850" s="95"/>
      <c r="G850" s="21"/>
    </row>
    <row r="851" spans="2:7" s="32" customFormat="1" x14ac:dyDescent="0.25">
      <c r="B851" s="39"/>
      <c r="D851" s="59"/>
      <c r="E851" s="68"/>
      <c r="F851" s="95"/>
      <c r="G851" s="21"/>
    </row>
    <row r="852" spans="2:7" s="32" customFormat="1" x14ac:dyDescent="0.25">
      <c r="B852" s="39"/>
      <c r="D852" s="59"/>
      <c r="E852" s="68"/>
      <c r="F852" s="95"/>
      <c r="G852" s="21"/>
    </row>
    <row r="853" spans="2:7" s="32" customFormat="1" x14ac:dyDescent="0.25">
      <c r="B853" s="39"/>
      <c r="D853" s="59"/>
      <c r="E853" s="68"/>
      <c r="F853" s="95"/>
      <c r="G853" s="21"/>
    </row>
    <row r="854" spans="2:7" s="32" customFormat="1" x14ac:dyDescent="0.25">
      <c r="B854" s="39"/>
      <c r="D854" s="59"/>
      <c r="E854" s="68"/>
      <c r="F854" s="95"/>
      <c r="G854" s="21"/>
    </row>
    <row r="855" spans="2:7" s="32" customFormat="1" x14ac:dyDescent="0.25">
      <c r="B855" s="39"/>
      <c r="D855" s="59"/>
      <c r="E855" s="68"/>
      <c r="F855" s="95"/>
      <c r="G855" s="21"/>
    </row>
    <row r="856" spans="2:7" s="32" customFormat="1" x14ac:dyDescent="0.25">
      <c r="B856" s="39"/>
      <c r="D856" s="59"/>
      <c r="E856" s="68"/>
      <c r="F856" s="95"/>
      <c r="G856" s="21"/>
    </row>
    <row r="857" spans="2:7" s="32" customFormat="1" x14ac:dyDescent="0.25">
      <c r="B857" s="39"/>
      <c r="D857" s="59"/>
      <c r="E857" s="68"/>
      <c r="F857" s="95"/>
      <c r="G857" s="21"/>
    </row>
    <row r="858" spans="2:7" s="32" customFormat="1" x14ac:dyDescent="0.25">
      <c r="B858" s="39"/>
      <c r="D858" s="59"/>
      <c r="E858" s="68"/>
      <c r="F858" s="95"/>
      <c r="G858" s="21"/>
    </row>
    <row r="859" spans="2:7" s="32" customFormat="1" x14ac:dyDescent="0.25">
      <c r="B859" s="39"/>
      <c r="D859" s="59"/>
      <c r="E859" s="68"/>
      <c r="F859" s="95"/>
      <c r="G859" s="21"/>
    </row>
    <row r="860" spans="2:7" s="32" customFormat="1" x14ac:dyDescent="0.25">
      <c r="B860" s="39"/>
      <c r="D860" s="59"/>
      <c r="E860" s="68"/>
      <c r="F860" s="95"/>
      <c r="G860" s="21"/>
    </row>
    <row r="861" spans="2:7" s="32" customFormat="1" x14ac:dyDescent="0.25">
      <c r="B861" s="39"/>
      <c r="D861" s="59"/>
      <c r="E861" s="68"/>
      <c r="F861" s="95"/>
      <c r="G861" s="21"/>
    </row>
    <row r="862" spans="2:7" s="32" customFormat="1" x14ac:dyDescent="0.25">
      <c r="B862" s="39"/>
      <c r="D862" s="59"/>
      <c r="E862" s="68"/>
      <c r="F862" s="95"/>
      <c r="G862" s="21"/>
    </row>
    <row r="863" spans="2:7" s="32" customFormat="1" x14ac:dyDescent="0.25">
      <c r="B863" s="39"/>
      <c r="D863" s="59"/>
      <c r="E863" s="68"/>
      <c r="F863" s="95"/>
      <c r="G863" s="21"/>
    </row>
    <row r="864" spans="2:7" s="32" customFormat="1" x14ac:dyDescent="0.25">
      <c r="B864" s="39"/>
      <c r="D864" s="59"/>
      <c r="E864" s="68"/>
      <c r="F864" s="95"/>
      <c r="G864" s="21"/>
    </row>
    <row r="865" spans="2:7" s="32" customFormat="1" x14ac:dyDescent="0.25">
      <c r="B865" s="39"/>
      <c r="D865" s="59"/>
      <c r="E865" s="68"/>
      <c r="F865" s="95"/>
      <c r="G865" s="21"/>
    </row>
    <row r="866" spans="2:7" s="32" customFormat="1" x14ac:dyDescent="0.25">
      <c r="B866" s="39"/>
      <c r="D866" s="59"/>
      <c r="E866" s="68"/>
      <c r="F866" s="95"/>
      <c r="G866" s="21"/>
    </row>
    <row r="867" spans="2:7" s="32" customFormat="1" x14ac:dyDescent="0.25">
      <c r="B867" s="39"/>
      <c r="D867" s="59"/>
      <c r="E867" s="68"/>
      <c r="F867" s="95"/>
      <c r="G867" s="21"/>
    </row>
    <row r="868" spans="2:7" s="32" customFormat="1" x14ac:dyDescent="0.25">
      <c r="B868" s="39"/>
      <c r="D868" s="59"/>
      <c r="E868" s="68"/>
      <c r="F868" s="95"/>
      <c r="G868" s="21"/>
    </row>
    <row r="869" spans="2:7" s="32" customFormat="1" x14ac:dyDescent="0.25">
      <c r="B869" s="39"/>
      <c r="D869" s="59"/>
      <c r="E869" s="68"/>
      <c r="F869" s="95"/>
      <c r="G869" s="21"/>
    </row>
    <row r="870" spans="2:7" s="32" customFormat="1" x14ac:dyDescent="0.25">
      <c r="B870" s="39"/>
      <c r="D870" s="59"/>
      <c r="E870" s="68"/>
      <c r="F870" s="95"/>
      <c r="G870" s="21"/>
    </row>
    <row r="871" spans="2:7" s="32" customFormat="1" x14ac:dyDescent="0.25">
      <c r="B871" s="39"/>
      <c r="D871" s="59"/>
      <c r="E871" s="68"/>
      <c r="F871" s="95"/>
      <c r="G871" s="21"/>
    </row>
    <row r="872" spans="2:7" s="32" customFormat="1" x14ac:dyDescent="0.25">
      <c r="B872" s="39"/>
      <c r="D872" s="59"/>
      <c r="E872" s="68"/>
      <c r="F872" s="95"/>
      <c r="G872" s="21"/>
    </row>
    <row r="873" spans="2:7" s="32" customFormat="1" x14ac:dyDescent="0.25">
      <c r="B873" s="39"/>
      <c r="D873" s="59"/>
      <c r="E873" s="68"/>
      <c r="F873" s="95"/>
      <c r="G873" s="21"/>
    </row>
    <row r="874" spans="2:7" s="32" customFormat="1" x14ac:dyDescent="0.25">
      <c r="B874" s="39"/>
      <c r="D874" s="59"/>
      <c r="E874" s="68"/>
      <c r="F874" s="95"/>
      <c r="G874" s="21"/>
    </row>
    <row r="875" spans="2:7" s="32" customFormat="1" x14ac:dyDescent="0.25">
      <c r="B875" s="39"/>
      <c r="D875" s="59"/>
      <c r="E875" s="68"/>
      <c r="F875" s="95"/>
      <c r="G875" s="21"/>
    </row>
    <row r="876" spans="2:7" s="32" customFormat="1" x14ac:dyDescent="0.25">
      <c r="B876" s="39"/>
      <c r="D876" s="59"/>
      <c r="E876" s="68"/>
      <c r="F876" s="95"/>
      <c r="G876" s="21"/>
    </row>
    <row r="877" spans="2:7" s="32" customFormat="1" x14ac:dyDescent="0.25">
      <c r="B877" s="39"/>
      <c r="D877" s="59"/>
      <c r="E877" s="68"/>
      <c r="F877" s="95"/>
      <c r="G877" s="21"/>
    </row>
    <row r="878" spans="2:7" s="32" customFormat="1" x14ac:dyDescent="0.25">
      <c r="B878" s="39"/>
      <c r="D878" s="59"/>
      <c r="E878" s="68"/>
      <c r="F878" s="95"/>
      <c r="G878" s="21"/>
    </row>
    <row r="879" spans="2:7" s="32" customFormat="1" x14ac:dyDescent="0.25">
      <c r="B879" s="39"/>
      <c r="D879" s="59"/>
      <c r="E879" s="68"/>
      <c r="F879" s="95"/>
      <c r="G879" s="21"/>
    </row>
    <row r="880" spans="2:7" s="32" customFormat="1" x14ac:dyDescent="0.25">
      <c r="B880" s="39"/>
      <c r="D880" s="59"/>
      <c r="E880" s="68"/>
      <c r="F880" s="95"/>
      <c r="G880" s="21"/>
    </row>
    <row r="881" spans="2:7" s="32" customFormat="1" x14ac:dyDescent="0.25">
      <c r="B881" s="39"/>
      <c r="D881" s="59"/>
      <c r="E881" s="68"/>
      <c r="F881" s="95"/>
      <c r="G881" s="21"/>
    </row>
    <row r="882" spans="2:7" s="32" customFormat="1" x14ac:dyDescent="0.25">
      <c r="B882" s="39"/>
      <c r="D882" s="59"/>
      <c r="E882" s="68"/>
      <c r="F882" s="95"/>
      <c r="G882" s="21"/>
    </row>
    <row r="883" spans="2:7" s="32" customFormat="1" x14ac:dyDescent="0.25">
      <c r="B883" s="39"/>
      <c r="D883" s="59"/>
      <c r="E883" s="68"/>
      <c r="F883" s="95"/>
      <c r="G883" s="21"/>
    </row>
    <row r="884" spans="2:7" s="32" customFormat="1" x14ac:dyDescent="0.25">
      <c r="B884" s="39"/>
      <c r="D884" s="59"/>
      <c r="E884" s="68"/>
      <c r="F884" s="95"/>
      <c r="G884" s="21"/>
    </row>
    <row r="885" spans="2:7" s="32" customFormat="1" x14ac:dyDescent="0.25">
      <c r="B885" s="39"/>
      <c r="D885" s="59"/>
      <c r="E885" s="68"/>
      <c r="F885" s="95"/>
      <c r="G885" s="21"/>
    </row>
    <row r="886" spans="2:7" s="32" customFormat="1" x14ac:dyDescent="0.25">
      <c r="B886" s="39"/>
      <c r="D886" s="59"/>
      <c r="E886" s="68"/>
      <c r="F886" s="95"/>
      <c r="G886" s="21"/>
    </row>
    <row r="887" spans="2:7" s="32" customFormat="1" x14ac:dyDescent="0.25">
      <c r="B887" s="39"/>
      <c r="D887" s="59"/>
      <c r="E887" s="68"/>
      <c r="F887" s="95"/>
      <c r="G887" s="21"/>
    </row>
    <row r="888" spans="2:7" s="32" customFormat="1" x14ac:dyDescent="0.25">
      <c r="B888" s="39"/>
      <c r="D888" s="59"/>
      <c r="E888" s="68"/>
      <c r="F888" s="95"/>
      <c r="G888" s="21"/>
    </row>
    <row r="889" spans="2:7" s="32" customFormat="1" x14ac:dyDescent="0.25">
      <c r="B889" s="39"/>
      <c r="D889" s="59"/>
      <c r="E889" s="68"/>
      <c r="F889" s="95"/>
      <c r="G889" s="21"/>
    </row>
    <row r="890" spans="2:7" s="32" customFormat="1" x14ac:dyDescent="0.25">
      <c r="B890" s="39"/>
      <c r="D890" s="59"/>
      <c r="E890" s="68"/>
      <c r="F890" s="95"/>
      <c r="G890" s="21"/>
    </row>
    <row r="891" spans="2:7" s="32" customFormat="1" x14ac:dyDescent="0.25">
      <c r="B891" s="39"/>
      <c r="D891" s="59"/>
      <c r="E891" s="68"/>
      <c r="F891" s="95"/>
      <c r="G891" s="21"/>
    </row>
    <row r="892" spans="2:7" s="32" customFormat="1" x14ac:dyDescent="0.25">
      <c r="B892" s="39"/>
      <c r="D892" s="59"/>
      <c r="E892" s="68"/>
      <c r="F892" s="95"/>
      <c r="G892" s="21"/>
    </row>
    <row r="893" spans="2:7" s="32" customFormat="1" x14ac:dyDescent="0.25">
      <c r="B893" s="39"/>
      <c r="D893" s="59"/>
      <c r="E893" s="68"/>
      <c r="F893" s="95"/>
      <c r="G893" s="21"/>
    </row>
    <row r="894" spans="2:7" s="32" customFormat="1" x14ac:dyDescent="0.25">
      <c r="B894" s="39"/>
      <c r="D894" s="59"/>
      <c r="E894" s="68"/>
      <c r="F894" s="95"/>
      <c r="G894" s="21"/>
    </row>
    <row r="895" spans="2:7" s="32" customFormat="1" x14ac:dyDescent="0.25">
      <c r="B895" s="39"/>
      <c r="D895" s="59"/>
      <c r="E895" s="68"/>
      <c r="F895" s="95"/>
      <c r="G895" s="21"/>
    </row>
    <row r="896" spans="2:7" s="32" customFormat="1" x14ac:dyDescent="0.25">
      <c r="B896" s="39"/>
      <c r="D896" s="59"/>
      <c r="E896" s="68"/>
      <c r="F896" s="95"/>
      <c r="G896" s="21"/>
    </row>
    <row r="897" spans="2:7" s="32" customFormat="1" x14ac:dyDescent="0.25">
      <c r="B897" s="39"/>
      <c r="D897" s="59"/>
      <c r="E897" s="68"/>
      <c r="F897" s="95"/>
      <c r="G897" s="21"/>
    </row>
    <row r="898" spans="2:7" s="32" customFormat="1" x14ac:dyDescent="0.25">
      <c r="B898" s="39"/>
      <c r="D898" s="59"/>
      <c r="E898" s="68"/>
      <c r="F898" s="95"/>
      <c r="G898" s="21"/>
    </row>
    <row r="899" spans="2:7" s="32" customFormat="1" x14ac:dyDescent="0.25">
      <c r="B899" s="39"/>
      <c r="D899" s="59"/>
      <c r="E899" s="68"/>
      <c r="F899" s="95"/>
      <c r="G899" s="21"/>
    </row>
    <row r="900" spans="2:7" s="32" customFormat="1" x14ac:dyDescent="0.25">
      <c r="B900" s="39"/>
      <c r="D900" s="59"/>
      <c r="E900" s="68"/>
      <c r="F900" s="95"/>
      <c r="G900" s="21"/>
    </row>
    <row r="901" spans="2:7" s="32" customFormat="1" x14ac:dyDescent="0.25">
      <c r="B901" s="39"/>
      <c r="D901" s="59"/>
      <c r="E901" s="68"/>
      <c r="F901" s="95"/>
      <c r="G901" s="21"/>
    </row>
    <row r="902" spans="2:7" s="32" customFormat="1" x14ac:dyDescent="0.25">
      <c r="B902" s="39"/>
      <c r="D902" s="59"/>
      <c r="E902" s="68"/>
      <c r="F902" s="95"/>
      <c r="G902" s="21"/>
    </row>
    <row r="903" spans="2:7" s="32" customFormat="1" x14ac:dyDescent="0.25">
      <c r="B903" s="39"/>
      <c r="D903" s="59"/>
      <c r="E903" s="68"/>
      <c r="F903" s="95"/>
      <c r="G903" s="21"/>
    </row>
    <row r="904" spans="2:7" s="32" customFormat="1" x14ac:dyDescent="0.25">
      <c r="B904" s="39"/>
      <c r="D904" s="59"/>
      <c r="E904" s="68"/>
      <c r="F904" s="95"/>
      <c r="G904" s="21"/>
    </row>
    <row r="905" spans="2:7" s="32" customFormat="1" x14ac:dyDescent="0.25">
      <c r="B905" s="39"/>
      <c r="D905" s="59"/>
      <c r="E905" s="68"/>
      <c r="F905" s="95"/>
      <c r="G905" s="21"/>
    </row>
    <row r="906" spans="2:7" s="32" customFormat="1" x14ac:dyDescent="0.25">
      <c r="B906" s="39"/>
      <c r="D906" s="59"/>
      <c r="E906" s="68"/>
      <c r="F906" s="95"/>
      <c r="G906" s="21"/>
    </row>
    <row r="907" spans="2:7" s="32" customFormat="1" x14ac:dyDescent="0.25">
      <c r="B907" s="39"/>
      <c r="D907" s="59"/>
      <c r="E907" s="68"/>
      <c r="F907" s="95"/>
      <c r="G907" s="21"/>
    </row>
  </sheetData>
  <mergeCells count="16">
    <mergeCell ref="B6:E6"/>
    <mergeCell ref="B1:F1"/>
    <mergeCell ref="A2:F2"/>
    <mergeCell ref="A3:F3"/>
    <mergeCell ref="B4:E4"/>
    <mergeCell ref="A5:F5"/>
    <mergeCell ref="B16:E16"/>
    <mergeCell ref="B12:E12"/>
    <mergeCell ref="A13:F13"/>
    <mergeCell ref="B14:E14"/>
    <mergeCell ref="A15:F15"/>
    <mergeCell ref="A7:F7"/>
    <mergeCell ref="B8:E8"/>
    <mergeCell ref="A9:F9"/>
    <mergeCell ref="B10:E10"/>
    <mergeCell ref="A11:F11"/>
  </mergeCells>
  <pageMargins left="0.51181102362204722" right="0.39370078740157483" top="0.94488188976377963" bottom="0.74803149606299213" header="0.23622047244094491" footer="0.31496062992125984"/>
  <pageSetup paperSize="9" scale="98" firstPageNumber="58"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G - Summary</oddHeader>
    <oddFooter>&amp;L&amp;"Arial,Regular"&amp;9Bill of Quantities&amp;R&amp;"Arial,Regular"&amp;9BOQ.&amp;P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C9553-D28B-49AC-9081-AAE126996233}">
  <dimension ref="A1:H1398"/>
  <sheetViews>
    <sheetView view="pageBreakPreview" topLeftCell="A26" zoomScale="115" zoomScaleNormal="115" zoomScaleSheetLayoutView="115" workbookViewId="0">
      <selection activeCell="F14" sqref="F14"/>
    </sheetView>
  </sheetViews>
  <sheetFormatPr defaultColWidth="9.140625" defaultRowHeight="12" x14ac:dyDescent="0.25"/>
  <cols>
    <col min="1" max="1" width="7.7109375" style="315" customWidth="1"/>
    <col min="2" max="2" width="9.42578125" style="315" customWidth="1"/>
    <col min="3" max="3" width="35.28515625" style="327" customWidth="1"/>
    <col min="4" max="4" width="5" style="315" customWidth="1"/>
    <col min="5" max="5" width="6.85546875" style="321" customWidth="1"/>
    <col min="6" max="6" width="11.7109375" style="322" customWidth="1"/>
    <col min="7" max="7" width="17.5703125" style="315" customWidth="1"/>
    <col min="8" max="8" width="9.140625" style="21"/>
    <col min="9" max="9" width="11" style="21" bestFit="1" customWidth="1"/>
    <col min="10" max="16384" width="9.140625" style="21"/>
  </cols>
  <sheetData>
    <row r="1" spans="1:7" ht="15" customHeight="1" x14ac:dyDescent="0.25">
      <c r="A1" s="539" t="s">
        <v>617</v>
      </c>
      <c r="B1" s="528"/>
      <c r="C1" s="528"/>
      <c r="D1" s="528"/>
      <c r="E1" s="528"/>
      <c r="F1" s="528"/>
      <c r="G1" s="529"/>
    </row>
    <row r="2" spans="1:7" ht="27.75" customHeight="1" x14ac:dyDescent="0.25">
      <c r="A2" s="73" t="s">
        <v>91</v>
      </c>
      <c r="B2" s="31" t="s">
        <v>21</v>
      </c>
      <c r="C2" s="148" t="s">
        <v>0</v>
      </c>
      <c r="D2" s="73" t="s">
        <v>1</v>
      </c>
      <c r="E2" s="74" t="s">
        <v>22</v>
      </c>
      <c r="F2" s="63" t="s">
        <v>2</v>
      </c>
      <c r="G2" s="73" t="s">
        <v>77</v>
      </c>
    </row>
    <row r="3" spans="1:7" ht="11.85" customHeight="1" x14ac:dyDescent="0.25">
      <c r="A3" s="422"/>
      <c r="B3" s="418"/>
      <c r="C3" s="408"/>
      <c r="D3" s="408"/>
      <c r="E3" s="409"/>
      <c r="F3" s="423"/>
      <c r="G3" s="408"/>
    </row>
    <row r="4" spans="1:7" x14ac:dyDescent="0.25">
      <c r="A4" s="329" t="s">
        <v>179</v>
      </c>
      <c r="B4" s="206"/>
      <c r="C4" s="284" t="s">
        <v>618</v>
      </c>
      <c r="D4" s="207"/>
      <c r="E4" s="208"/>
      <c r="F4" s="294"/>
      <c r="G4" s="207"/>
    </row>
    <row r="5" spans="1:7" ht="11.85" customHeight="1" x14ac:dyDescent="0.25">
      <c r="A5" s="424"/>
      <c r="B5" s="204"/>
      <c r="C5" s="205"/>
      <c r="D5" s="205"/>
      <c r="E5" s="425"/>
      <c r="F5" s="426"/>
      <c r="G5" s="205"/>
    </row>
    <row r="6" spans="1:7" ht="24" x14ac:dyDescent="0.25">
      <c r="A6" s="231" t="s">
        <v>216</v>
      </c>
      <c r="B6" s="207" t="s">
        <v>244</v>
      </c>
      <c r="C6" s="38" t="s">
        <v>9</v>
      </c>
      <c r="D6" s="207"/>
      <c r="E6" s="186"/>
      <c r="F6" s="234"/>
      <c r="G6" s="232"/>
    </row>
    <row r="7" spans="1:7" ht="11.85" customHeight="1" x14ac:dyDescent="0.25">
      <c r="A7" s="424"/>
      <c r="B7" s="204"/>
      <c r="C7" s="205"/>
      <c r="D7" s="205"/>
      <c r="E7" s="425"/>
      <c r="F7" s="426"/>
      <c r="G7" s="205"/>
    </row>
    <row r="8" spans="1:7" ht="24" x14ac:dyDescent="0.25">
      <c r="A8" s="108" t="s">
        <v>1363</v>
      </c>
      <c r="B8" s="210" t="s">
        <v>11</v>
      </c>
      <c r="C8" s="119" t="s">
        <v>783</v>
      </c>
      <c r="D8" s="210" t="s">
        <v>88</v>
      </c>
      <c r="E8" s="211">
        <v>100</v>
      </c>
      <c r="F8" s="234"/>
      <c r="G8" s="255"/>
    </row>
    <row r="9" spans="1:7" ht="11.85" customHeight="1" x14ac:dyDescent="0.25">
      <c r="A9" s="424"/>
      <c r="B9" s="204"/>
      <c r="C9" s="205"/>
      <c r="D9" s="205"/>
      <c r="E9" s="425"/>
      <c r="F9" s="426"/>
      <c r="G9" s="205"/>
    </row>
    <row r="10" spans="1:7" ht="48" x14ac:dyDescent="0.25">
      <c r="A10" s="108"/>
      <c r="B10" s="207" t="s">
        <v>83</v>
      </c>
      <c r="C10" s="38" t="s">
        <v>789</v>
      </c>
      <c r="D10" s="142"/>
      <c r="E10" s="211"/>
      <c r="F10" s="270"/>
      <c r="G10" s="207"/>
    </row>
    <row r="11" spans="1:7" ht="11.85" customHeight="1" x14ac:dyDescent="0.25">
      <c r="A11" s="424"/>
      <c r="B11" s="204"/>
      <c r="C11" s="205"/>
      <c r="D11" s="205"/>
      <c r="E11" s="425"/>
      <c r="F11" s="426"/>
      <c r="G11" s="205"/>
    </row>
    <row r="12" spans="1:7" ht="11.85" customHeight="1" x14ac:dyDescent="0.25">
      <c r="A12" s="108" t="s">
        <v>1364</v>
      </c>
      <c r="B12" s="207"/>
      <c r="C12" s="119" t="s">
        <v>397</v>
      </c>
      <c r="D12" s="142" t="s">
        <v>88</v>
      </c>
      <c r="E12" s="211">
        <f>+ROUND(E42*0.15,1)</f>
        <v>121.4</v>
      </c>
      <c r="F12" s="274"/>
      <c r="G12" s="255"/>
    </row>
    <row r="13" spans="1:7" ht="11.85" customHeight="1" x14ac:dyDescent="0.25">
      <c r="A13" s="424"/>
      <c r="B13" s="204"/>
      <c r="C13" s="205"/>
      <c r="D13" s="205"/>
      <c r="E13" s="425"/>
      <c r="F13" s="426"/>
      <c r="G13" s="205"/>
    </row>
    <row r="14" spans="1:7" ht="36" x14ac:dyDescent="0.25">
      <c r="A14" s="108" t="s">
        <v>1368</v>
      </c>
      <c r="B14" s="210" t="s">
        <v>563</v>
      </c>
      <c r="C14" s="119" t="s">
        <v>790</v>
      </c>
      <c r="D14" s="210" t="s">
        <v>88</v>
      </c>
      <c r="E14" s="219">
        <f>E12</f>
        <v>121.4</v>
      </c>
      <c r="F14" s="274"/>
      <c r="G14" s="255"/>
    </row>
    <row r="15" spans="1:7" ht="11.85" customHeight="1" x14ac:dyDescent="0.25">
      <c r="A15" s="424"/>
      <c r="B15" s="204"/>
      <c r="C15" s="205"/>
      <c r="D15" s="205"/>
      <c r="E15" s="425"/>
      <c r="F15" s="426"/>
      <c r="G15" s="205"/>
    </row>
    <row r="16" spans="1:7" ht="24" x14ac:dyDescent="0.25">
      <c r="A16" s="231" t="s">
        <v>1365</v>
      </c>
      <c r="B16" s="207" t="s">
        <v>148</v>
      </c>
      <c r="C16" s="38" t="s">
        <v>422</v>
      </c>
      <c r="D16" s="229"/>
      <c r="E16" s="211"/>
      <c r="F16" s="234"/>
      <c r="G16" s="232"/>
    </row>
    <row r="17" spans="1:7" x14ac:dyDescent="0.25">
      <c r="A17" s="424"/>
      <c r="B17" s="204"/>
      <c r="C17" s="205"/>
      <c r="D17" s="205"/>
      <c r="E17" s="425"/>
      <c r="F17" s="426"/>
      <c r="G17" s="205"/>
    </row>
    <row r="18" spans="1:7" ht="11.85" customHeight="1" x14ac:dyDescent="0.25">
      <c r="A18" s="246"/>
      <c r="B18" s="206">
        <v>8.1999999999999993</v>
      </c>
      <c r="C18" s="218" t="s">
        <v>149</v>
      </c>
      <c r="D18" s="142"/>
      <c r="E18" s="187"/>
      <c r="F18" s="270"/>
      <c r="G18" s="207"/>
    </row>
    <row r="19" spans="1:7" ht="11.85" customHeight="1" x14ac:dyDescent="0.25">
      <c r="A19" s="424"/>
      <c r="B19" s="204"/>
      <c r="C19" s="205"/>
      <c r="D19" s="205"/>
      <c r="E19" s="425"/>
      <c r="F19" s="426"/>
      <c r="G19" s="205"/>
    </row>
    <row r="20" spans="1:7" ht="11.85" customHeight="1" x14ac:dyDescent="0.25">
      <c r="A20" s="246"/>
      <c r="B20" s="206"/>
      <c r="C20" s="154" t="s">
        <v>172</v>
      </c>
      <c r="D20" s="142"/>
      <c r="E20" s="187"/>
      <c r="F20" s="270"/>
      <c r="G20" s="207"/>
    </row>
    <row r="21" spans="1:7" ht="11.85" customHeight="1" x14ac:dyDescent="0.25">
      <c r="A21" s="424"/>
      <c r="B21" s="204"/>
      <c r="C21" s="205"/>
      <c r="D21" s="205"/>
      <c r="E21" s="425"/>
      <c r="F21" s="426"/>
      <c r="G21" s="205"/>
    </row>
    <row r="22" spans="1:7" ht="11.85" customHeight="1" x14ac:dyDescent="0.25">
      <c r="A22" s="246"/>
      <c r="B22" s="273" t="s">
        <v>5</v>
      </c>
      <c r="C22" s="257" t="s">
        <v>157</v>
      </c>
      <c r="D22" s="142"/>
      <c r="E22" s="187"/>
      <c r="F22" s="270"/>
      <c r="G22" s="207"/>
    </row>
    <row r="23" spans="1:7" ht="11.85" customHeight="1" x14ac:dyDescent="0.25">
      <c r="A23" s="424"/>
      <c r="B23" s="204"/>
      <c r="C23" s="205"/>
      <c r="D23" s="205"/>
      <c r="E23" s="425"/>
      <c r="F23" s="426"/>
      <c r="G23" s="205"/>
    </row>
    <row r="24" spans="1:7" ht="24" x14ac:dyDescent="0.25">
      <c r="A24" s="214" t="s">
        <v>1366</v>
      </c>
      <c r="B24" s="142"/>
      <c r="C24" s="233" t="s">
        <v>784</v>
      </c>
      <c r="D24" s="142" t="s">
        <v>87</v>
      </c>
      <c r="E24" s="187">
        <f>+ROUND((26+11+11+11+26+12+11+11+15+9+9+15+9+9)*0.25,1)</f>
        <v>46.3</v>
      </c>
      <c r="F24" s="274"/>
      <c r="G24" s="255"/>
    </row>
    <row r="25" spans="1:7" ht="11.85" customHeight="1" x14ac:dyDescent="0.25">
      <c r="A25" s="424"/>
      <c r="B25" s="204"/>
      <c r="C25" s="205"/>
      <c r="D25" s="205"/>
      <c r="E25" s="425"/>
      <c r="F25" s="426"/>
      <c r="G25" s="205"/>
    </row>
    <row r="26" spans="1:7" ht="11.85" customHeight="1" x14ac:dyDescent="0.25">
      <c r="A26" s="246"/>
      <c r="B26" s="207">
        <v>8.3000000000000007</v>
      </c>
      <c r="C26" s="38" t="s">
        <v>151</v>
      </c>
      <c r="D26" s="210"/>
      <c r="E26" s="241"/>
      <c r="F26" s="242"/>
      <c r="G26" s="243"/>
    </row>
    <row r="27" spans="1:7" ht="11.85" customHeight="1" x14ac:dyDescent="0.25">
      <c r="A27" s="424"/>
      <c r="B27" s="204"/>
      <c r="C27" s="205"/>
      <c r="D27" s="205"/>
      <c r="E27" s="425"/>
      <c r="F27" s="426"/>
      <c r="G27" s="205"/>
    </row>
    <row r="28" spans="1:7" ht="11.85" customHeight="1" x14ac:dyDescent="0.25">
      <c r="A28" s="246"/>
      <c r="B28" s="210"/>
      <c r="C28" s="258" t="s">
        <v>406</v>
      </c>
      <c r="D28" s="210"/>
      <c r="E28" s="241"/>
      <c r="F28" s="242"/>
      <c r="G28" s="243"/>
    </row>
    <row r="29" spans="1:7" ht="11.85" customHeight="1" x14ac:dyDescent="0.25">
      <c r="A29" s="424"/>
      <c r="B29" s="204"/>
      <c r="C29" s="205"/>
      <c r="D29" s="205"/>
      <c r="E29" s="425"/>
      <c r="F29" s="426"/>
      <c r="G29" s="205"/>
    </row>
    <row r="30" spans="1:7" ht="11.85" customHeight="1" x14ac:dyDescent="0.25">
      <c r="A30" s="214" t="s">
        <v>1367</v>
      </c>
      <c r="B30" s="210" t="s">
        <v>26</v>
      </c>
      <c r="C30" s="119" t="s">
        <v>177</v>
      </c>
      <c r="D30" s="210" t="s">
        <v>92</v>
      </c>
      <c r="E30" s="241">
        <f>ROUND(0.1*E38,1)</f>
        <v>16.2</v>
      </c>
      <c r="F30" s="242"/>
      <c r="G30" s="255"/>
    </row>
    <row r="31" spans="1:7" ht="11.85" customHeight="1" x14ac:dyDescent="0.25">
      <c r="A31" s="424"/>
      <c r="B31" s="204"/>
      <c r="C31" s="205"/>
      <c r="D31" s="205"/>
      <c r="E31" s="425"/>
      <c r="F31" s="426"/>
      <c r="G31" s="205"/>
    </row>
    <row r="32" spans="1:7" ht="11.85" customHeight="1" x14ac:dyDescent="0.25">
      <c r="A32" s="246"/>
      <c r="B32" s="207">
        <v>8.4</v>
      </c>
      <c r="C32" s="38" t="s">
        <v>152</v>
      </c>
      <c r="D32" s="210"/>
      <c r="E32" s="219"/>
      <c r="F32" s="274"/>
      <c r="G32" s="233"/>
    </row>
    <row r="33" spans="1:7" ht="11.85" customHeight="1" x14ac:dyDescent="0.25">
      <c r="A33" s="424"/>
      <c r="B33" s="204"/>
      <c r="C33" s="205"/>
      <c r="D33" s="205"/>
      <c r="E33" s="425"/>
      <c r="F33" s="426"/>
      <c r="G33" s="205"/>
    </row>
    <row r="34" spans="1:7" ht="11.85" customHeight="1" x14ac:dyDescent="0.25">
      <c r="A34" s="246"/>
      <c r="B34" s="210"/>
      <c r="C34" s="258" t="s">
        <v>407</v>
      </c>
      <c r="D34" s="210"/>
      <c r="E34" s="219"/>
      <c r="F34" s="274"/>
      <c r="G34" s="281"/>
    </row>
    <row r="35" spans="1:7" ht="11.85" customHeight="1" x14ac:dyDescent="0.25">
      <c r="A35" s="424"/>
      <c r="B35" s="204"/>
      <c r="C35" s="205"/>
      <c r="D35" s="205"/>
      <c r="E35" s="425"/>
      <c r="F35" s="426"/>
      <c r="G35" s="205"/>
    </row>
    <row r="36" spans="1:7" ht="24" x14ac:dyDescent="0.25">
      <c r="A36" s="214" t="s">
        <v>1368</v>
      </c>
      <c r="B36" s="210" t="s">
        <v>52</v>
      </c>
      <c r="C36" s="119" t="s">
        <v>437</v>
      </c>
      <c r="D36" s="142" t="s">
        <v>88</v>
      </c>
      <c r="E36" s="219">
        <f>+ROUND(105%*((120.8*0.05)+(114.8*0.05)+(278.9*0.05)+(256.4*0.05)),1)</f>
        <v>40.5</v>
      </c>
      <c r="F36" s="274"/>
      <c r="G36" s="255"/>
    </row>
    <row r="37" spans="1:7" ht="11.85" customHeight="1" x14ac:dyDescent="0.25">
      <c r="A37" s="424"/>
      <c r="B37" s="204"/>
      <c r="C37" s="205"/>
      <c r="D37" s="205"/>
      <c r="E37" s="425"/>
      <c r="F37" s="426"/>
      <c r="G37" s="205"/>
    </row>
    <row r="38" spans="1:7" ht="24" x14ac:dyDescent="0.25">
      <c r="A38" s="214" t="s">
        <v>1369</v>
      </c>
      <c r="B38" s="210" t="s">
        <v>94</v>
      </c>
      <c r="C38" s="233" t="s">
        <v>2388</v>
      </c>
      <c r="D38" s="142" t="s">
        <v>88</v>
      </c>
      <c r="E38" s="219">
        <f>+ROUND(105%*((120.8*0.2)+(114.8*0.2)+(278.9*0.2)+(256.4*0.2)),1)</f>
        <v>161.9</v>
      </c>
      <c r="F38" s="242"/>
      <c r="G38" s="255"/>
    </row>
    <row r="39" spans="1:7" ht="11.85" customHeight="1" x14ac:dyDescent="0.25">
      <c r="A39" s="424"/>
      <c r="B39" s="204"/>
      <c r="C39" s="205"/>
      <c r="D39" s="205"/>
      <c r="E39" s="425"/>
      <c r="F39" s="426"/>
      <c r="G39" s="205"/>
    </row>
    <row r="40" spans="1:7" ht="11.85" customHeight="1" x14ac:dyDescent="0.25">
      <c r="A40" s="214"/>
      <c r="B40" s="221" t="s">
        <v>58</v>
      </c>
      <c r="C40" s="212" t="s">
        <v>158</v>
      </c>
      <c r="D40" s="229"/>
      <c r="E40" s="241"/>
      <c r="F40" s="242"/>
      <c r="G40" s="243"/>
    </row>
    <row r="41" spans="1:7" ht="11.85" customHeight="1" x14ac:dyDescent="0.25">
      <c r="A41" s="424"/>
      <c r="B41" s="204"/>
      <c r="C41" s="205"/>
      <c r="D41" s="205"/>
      <c r="E41" s="425"/>
      <c r="F41" s="426"/>
      <c r="G41" s="205"/>
    </row>
    <row r="42" spans="1:7" ht="24" x14ac:dyDescent="0.25">
      <c r="A42" s="214" t="s">
        <v>1370</v>
      </c>
      <c r="B42" s="229"/>
      <c r="C42" s="233" t="s">
        <v>785</v>
      </c>
      <c r="D42" s="142" t="s">
        <v>87</v>
      </c>
      <c r="E42" s="241">
        <f>ROUND(E38/0.2,1)</f>
        <v>809.5</v>
      </c>
      <c r="F42" s="242"/>
      <c r="G42" s="255"/>
    </row>
    <row r="43" spans="1:7" x14ac:dyDescent="0.25">
      <c r="A43" s="424"/>
      <c r="B43" s="204"/>
      <c r="C43" s="205"/>
      <c r="D43" s="205"/>
      <c r="E43" s="425"/>
      <c r="F43" s="426"/>
      <c r="G43" s="205"/>
    </row>
    <row r="44" spans="1:7" x14ac:dyDescent="0.25">
      <c r="A44" s="246"/>
      <c r="B44" s="229"/>
      <c r="C44" s="233"/>
      <c r="D44" s="142"/>
      <c r="E44" s="241"/>
      <c r="F44" s="242"/>
      <c r="G44" s="255"/>
    </row>
    <row r="45" spans="1:7" x14ac:dyDescent="0.25">
      <c r="A45" s="338"/>
      <c r="B45" s="414"/>
      <c r="C45" s="287"/>
      <c r="D45" s="240"/>
      <c r="E45" s="427"/>
      <c r="F45" s="428"/>
      <c r="G45" s="252"/>
    </row>
    <row r="46" spans="1:7" x14ac:dyDescent="0.25">
      <c r="A46" s="227"/>
      <c r="B46" s="206"/>
      <c r="C46" s="207"/>
      <c r="D46" s="207"/>
      <c r="E46" s="208"/>
      <c r="F46" s="294"/>
      <c r="G46" s="207"/>
    </row>
    <row r="47" spans="1:7" ht="28.5" customHeight="1" x14ac:dyDescent="0.25">
      <c r="A47" s="526" t="s">
        <v>609</v>
      </c>
      <c r="B47" s="526"/>
      <c r="C47" s="526"/>
      <c r="D47" s="526"/>
      <c r="E47" s="526"/>
      <c r="F47" s="526"/>
      <c r="G47" s="158"/>
    </row>
    <row r="48" spans="1:7" ht="28.5" customHeight="1" x14ac:dyDescent="0.25">
      <c r="A48" s="526" t="s">
        <v>610</v>
      </c>
      <c r="B48" s="526"/>
      <c r="C48" s="526"/>
      <c r="D48" s="526"/>
      <c r="E48" s="526"/>
      <c r="F48" s="526"/>
      <c r="G48" s="158"/>
    </row>
    <row r="49" spans="1:7" x14ac:dyDescent="0.25">
      <c r="A49" s="424"/>
      <c r="B49" s="204"/>
      <c r="C49" s="205"/>
      <c r="D49" s="205"/>
      <c r="E49" s="425"/>
      <c r="F49" s="426"/>
      <c r="G49" s="205"/>
    </row>
    <row r="50" spans="1:7" ht="24" x14ac:dyDescent="0.25">
      <c r="A50" s="246"/>
      <c r="B50" s="207">
        <v>8.5</v>
      </c>
      <c r="C50" s="218" t="s">
        <v>2131</v>
      </c>
      <c r="D50" s="229"/>
      <c r="E50" s="241"/>
      <c r="F50" s="242"/>
      <c r="G50" s="243"/>
    </row>
    <row r="51" spans="1:7" ht="11.85" customHeight="1" x14ac:dyDescent="0.25">
      <c r="A51" s="424"/>
      <c r="B51" s="204"/>
      <c r="C51" s="205"/>
      <c r="D51" s="205"/>
      <c r="E51" s="425"/>
      <c r="F51" s="426"/>
      <c r="G51" s="205"/>
    </row>
    <row r="52" spans="1:7" ht="11.85" customHeight="1" x14ac:dyDescent="0.25">
      <c r="A52" s="214" t="s">
        <v>1371</v>
      </c>
      <c r="B52" s="229"/>
      <c r="C52" s="235" t="s">
        <v>786</v>
      </c>
      <c r="D52" s="142" t="s">
        <v>6</v>
      </c>
      <c r="E52" s="241">
        <f>+ROUND(E24/0.25,1)</f>
        <v>185.2</v>
      </c>
      <c r="F52" s="242"/>
      <c r="G52" s="255"/>
    </row>
    <row r="53" spans="1:7" ht="11.85" customHeight="1" x14ac:dyDescent="0.25">
      <c r="A53" s="424"/>
      <c r="B53" s="204"/>
      <c r="C53" s="205"/>
      <c r="D53" s="205"/>
      <c r="E53" s="425"/>
      <c r="F53" s="426"/>
      <c r="G53" s="205"/>
    </row>
    <row r="54" spans="1:7" ht="24" x14ac:dyDescent="0.25">
      <c r="A54" s="214" t="s">
        <v>1372</v>
      </c>
      <c r="B54" s="229"/>
      <c r="C54" s="233" t="s">
        <v>787</v>
      </c>
      <c r="D54" s="142" t="s">
        <v>6</v>
      </c>
      <c r="E54" s="241">
        <f>E52</f>
        <v>185.2</v>
      </c>
      <c r="F54" s="242"/>
      <c r="G54" s="255"/>
    </row>
    <row r="55" spans="1:7" ht="11.85" customHeight="1" x14ac:dyDescent="0.25">
      <c r="A55" s="424"/>
      <c r="B55" s="204"/>
      <c r="C55" s="205"/>
      <c r="D55" s="205"/>
      <c r="E55" s="425"/>
      <c r="F55" s="426"/>
      <c r="G55" s="205"/>
    </row>
    <row r="56" spans="1:7" ht="24" x14ac:dyDescent="0.25">
      <c r="A56" s="214" t="s">
        <v>1606</v>
      </c>
      <c r="B56" s="229"/>
      <c r="C56" s="233" t="s">
        <v>513</v>
      </c>
      <c r="D56" s="210" t="s">
        <v>6</v>
      </c>
      <c r="E56" s="241">
        <f>E54</f>
        <v>185.2</v>
      </c>
      <c r="F56" s="242"/>
      <c r="G56" s="255"/>
    </row>
    <row r="57" spans="1:7" ht="11.85" customHeight="1" x14ac:dyDescent="0.25">
      <c r="A57" s="424"/>
      <c r="B57" s="204"/>
      <c r="C57" s="205"/>
      <c r="D57" s="205"/>
      <c r="E57" s="425"/>
      <c r="F57" s="426"/>
      <c r="G57" s="205"/>
    </row>
    <row r="58" spans="1:7" ht="36" x14ac:dyDescent="0.25">
      <c r="A58" s="214" t="s">
        <v>1607</v>
      </c>
      <c r="B58" s="229"/>
      <c r="C58" s="233" t="s">
        <v>514</v>
      </c>
      <c r="D58" s="210" t="s">
        <v>6</v>
      </c>
      <c r="E58" s="241">
        <f>E56</f>
        <v>185.2</v>
      </c>
      <c r="F58" s="242"/>
      <c r="G58" s="255"/>
    </row>
    <row r="59" spans="1:7" ht="11.85" customHeight="1" x14ac:dyDescent="0.25">
      <c r="A59" s="424"/>
      <c r="B59" s="204"/>
      <c r="C59" s="205"/>
      <c r="D59" s="205"/>
      <c r="E59" s="425"/>
      <c r="F59" s="426"/>
      <c r="G59" s="205"/>
    </row>
    <row r="60" spans="1:7" ht="36" x14ac:dyDescent="0.25">
      <c r="A60" s="214" t="s">
        <v>1608</v>
      </c>
      <c r="B60" s="229"/>
      <c r="C60" s="233" t="s">
        <v>788</v>
      </c>
      <c r="D60" s="142" t="s">
        <v>6</v>
      </c>
      <c r="E60" s="241">
        <f>E58</f>
        <v>185.2</v>
      </c>
      <c r="F60" s="242"/>
      <c r="G60" s="255"/>
    </row>
    <row r="61" spans="1:7" x14ac:dyDescent="0.25">
      <c r="A61" s="424"/>
      <c r="B61" s="204"/>
      <c r="C61" s="205"/>
      <c r="D61" s="205"/>
      <c r="E61" s="425"/>
      <c r="F61" s="426"/>
      <c r="G61" s="205"/>
    </row>
    <row r="62" spans="1:7" x14ac:dyDescent="0.25">
      <c r="A62" s="246"/>
      <c r="B62" s="229"/>
      <c r="C62" s="233"/>
      <c r="D62" s="142"/>
      <c r="E62" s="241"/>
      <c r="F62" s="242"/>
      <c r="G62" s="255"/>
    </row>
    <row r="63" spans="1:7" x14ac:dyDescent="0.25">
      <c r="A63" s="424"/>
      <c r="B63" s="204"/>
      <c r="C63" s="205"/>
      <c r="D63" s="205"/>
      <c r="E63" s="425"/>
      <c r="F63" s="426"/>
      <c r="G63" s="205"/>
    </row>
    <row r="64" spans="1:7" x14ac:dyDescent="0.25">
      <c r="A64" s="246"/>
      <c r="B64" s="229"/>
      <c r="C64" s="233"/>
      <c r="D64" s="142"/>
      <c r="E64" s="241"/>
      <c r="F64" s="242"/>
      <c r="G64" s="255"/>
    </row>
    <row r="65" spans="1:7" x14ac:dyDescent="0.25">
      <c r="A65" s="424"/>
      <c r="B65" s="204"/>
      <c r="C65" s="205"/>
      <c r="D65" s="205"/>
      <c r="E65" s="425"/>
      <c r="F65" s="426"/>
      <c r="G65" s="205"/>
    </row>
    <row r="66" spans="1:7" x14ac:dyDescent="0.25">
      <c r="A66" s="246"/>
      <c r="B66" s="229"/>
      <c r="C66" s="233"/>
      <c r="D66" s="142"/>
      <c r="E66" s="241"/>
      <c r="F66" s="242"/>
      <c r="G66" s="255"/>
    </row>
    <row r="67" spans="1:7" x14ac:dyDescent="0.25">
      <c r="A67" s="424"/>
      <c r="B67" s="204"/>
      <c r="C67" s="205"/>
      <c r="D67" s="205"/>
      <c r="E67" s="425"/>
      <c r="F67" s="426"/>
      <c r="G67" s="205"/>
    </row>
    <row r="68" spans="1:7" x14ac:dyDescent="0.25">
      <c r="A68" s="246"/>
      <c r="B68" s="229"/>
      <c r="C68" s="233"/>
      <c r="D68" s="142"/>
      <c r="E68" s="241"/>
      <c r="F68" s="242"/>
      <c r="G68" s="255"/>
    </row>
    <row r="69" spans="1:7" x14ac:dyDescent="0.25">
      <c r="A69" s="424"/>
      <c r="B69" s="204"/>
      <c r="C69" s="205"/>
      <c r="D69" s="205"/>
      <c r="E69" s="425"/>
      <c r="F69" s="426"/>
      <c r="G69" s="205"/>
    </row>
    <row r="70" spans="1:7" x14ac:dyDescent="0.25">
      <c r="A70" s="246"/>
      <c r="B70" s="229"/>
      <c r="C70" s="233"/>
      <c r="D70" s="142"/>
      <c r="E70" s="241"/>
      <c r="F70" s="242"/>
      <c r="G70" s="255"/>
    </row>
    <row r="71" spans="1:7" x14ac:dyDescent="0.25">
      <c r="A71" s="424"/>
      <c r="B71" s="204"/>
      <c r="C71" s="205"/>
      <c r="D71" s="205"/>
      <c r="E71" s="425"/>
      <c r="F71" s="426"/>
      <c r="G71" s="205"/>
    </row>
    <row r="72" spans="1:7" x14ac:dyDescent="0.25">
      <c r="A72" s="246"/>
      <c r="B72" s="229"/>
      <c r="C72" s="233"/>
      <c r="D72" s="142"/>
      <c r="E72" s="241"/>
      <c r="F72" s="242"/>
      <c r="G72" s="255"/>
    </row>
    <row r="73" spans="1:7" x14ac:dyDescent="0.25">
      <c r="A73" s="424"/>
      <c r="B73" s="204"/>
      <c r="C73" s="205"/>
      <c r="D73" s="205"/>
      <c r="E73" s="425"/>
      <c r="F73" s="426"/>
      <c r="G73" s="205"/>
    </row>
    <row r="74" spans="1:7" x14ac:dyDescent="0.25">
      <c r="A74" s="246"/>
      <c r="B74" s="229"/>
      <c r="C74" s="233"/>
      <c r="D74" s="142"/>
      <c r="E74" s="241"/>
      <c r="F74" s="242"/>
      <c r="G74" s="255"/>
    </row>
    <row r="75" spans="1:7" x14ac:dyDescent="0.25">
      <c r="A75" s="424"/>
      <c r="B75" s="204"/>
      <c r="C75" s="205"/>
      <c r="D75" s="205"/>
      <c r="E75" s="425"/>
      <c r="F75" s="426"/>
      <c r="G75" s="205"/>
    </row>
    <row r="76" spans="1:7" x14ac:dyDescent="0.25">
      <c r="A76" s="246"/>
      <c r="B76" s="229"/>
      <c r="C76" s="233"/>
      <c r="D76" s="142"/>
      <c r="E76" s="241"/>
      <c r="F76" s="242"/>
      <c r="G76" s="255"/>
    </row>
    <row r="77" spans="1:7" x14ac:dyDescent="0.25">
      <c r="A77" s="424"/>
      <c r="B77" s="204"/>
      <c r="C77" s="205"/>
      <c r="D77" s="205"/>
      <c r="E77" s="425"/>
      <c r="F77" s="426"/>
      <c r="G77" s="205"/>
    </row>
    <row r="78" spans="1:7" x14ac:dyDescent="0.25">
      <c r="A78" s="246"/>
      <c r="B78" s="229"/>
      <c r="C78" s="233"/>
      <c r="D78" s="142"/>
      <c r="E78" s="241"/>
      <c r="F78" s="242"/>
      <c r="G78" s="255"/>
    </row>
    <row r="79" spans="1:7" x14ac:dyDescent="0.25">
      <c r="A79" s="424"/>
      <c r="B79" s="204"/>
      <c r="C79" s="205"/>
      <c r="D79" s="205"/>
      <c r="E79" s="425"/>
      <c r="F79" s="426"/>
      <c r="G79" s="205"/>
    </row>
    <row r="80" spans="1:7" x14ac:dyDescent="0.25">
      <c r="A80" s="246"/>
      <c r="B80" s="229"/>
      <c r="C80" s="233"/>
      <c r="D80" s="142"/>
      <c r="E80" s="241"/>
      <c r="F80" s="242"/>
      <c r="G80" s="255"/>
    </row>
    <row r="81" spans="1:7" x14ac:dyDescent="0.25">
      <c r="A81" s="424"/>
      <c r="B81" s="204"/>
      <c r="C81" s="205"/>
      <c r="D81" s="205"/>
      <c r="E81" s="425"/>
      <c r="F81" s="426"/>
      <c r="G81" s="205"/>
    </row>
    <row r="82" spans="1:7" x14ac:dyDescent="0.25">
      <c r="A82" s="246"/>
      <c r="B82" s="229"/>
      <c r="C82" s="233"/>
      <c r="D82" s="142"/>
      <c r="E82" s="241"/>
      <c r="F82" s="242"/>
      <c r="G82" s="255"/>
    </row>
    <row r="83" spans="1:7" x14ac:dyDescent="0.25">
      <c r="A83" s="424"/>
      <c r="B83" s="204"/>
      <c r="C83" s="205"/>
      <c r="D83" s="205"/>
      <c r="E83" s="425"/>
      <c r="F83" s="426"/>
      <c r="G83" s="205"/>
    </row>
    <row r="84" spans="1:7" x14ac:dyDescent="0.25">
      <c r="A84" s="246"/>
      <c r="B84" s="229"/>
      <c r="C84" s="233"/>
      <c r="D84" s="142"/>
      <c r="E84" s="241"/>
      <c r="F84" s="242"/>
      <c r="G84" s="255"/>
    </row>
    <row r="85" spans="1:7" x14ac:dyDescent="0.25">
      <c r="A85" s="424"/>
      <c r="B85" s="204"/>
      <c r="C85" s="205"/>
      <c r="D85" s="205"/>
      <c r="E85" s="425"/>
      <c r="F85" s="426"/>
      <c r="G85" s="205"/>
    </row>
    <row r="86" spans="1:7" x14ac:dyDescent="0.25">
      <c r="A86" s="246"/>
      <c r="B86" s="229"/>
      <c r="C86" s="233"/>
      <c r="D86" s="142"/>
      <c r="E86" s="241"/>
      <c r="F86" s="242"/>
      <c r="G86" s="255"/>
    </row>
    <row r="87" spans="1:7" ht="11.85" customHeight="1" x14ac:dyDescent="0.25">
      <c r="A87" s="424"/>
      <c r="B87" s="204"/>
      <c r="C87" s="205"/>
      <c r="D87" s="205"/>
      <c r="E87" s="425"/>
      <c r="F87" s="426"/>
      <c r="G87" s="205"/>
    </row>
    <row r="88" spans="1:7" ht="11.85" customHeight="1" x14ac:dyDescent="0.25">
      <c r="A88" s="246"/>
      <c r="B88" s="229"/>
      <c r="C88" s="247"/>
      <c r="D88" s="229"/>
      <c r="E88" s="241"/>
      <c r="F88" s="242"/>
      <c r="G88" s="243"/>
    </row>
    <row r="89" spans="1:7" ht="11.85" customHeight="1" x14ac:dyDescent="0.25">
      <c r="A89" s="424"/>
      <c r="B89" s="204"/>
      <c r="C89" s="205"/>
      <c r="D89" s="205"/>
      <c r="E89" s="425"/>
      <c r="F89" s="426"/>
      <c r="G89" s="205"/>
    </row>
    <row r="90" spans="1:7" ht="11.85" customHeight="1" x14ac:dyDescent="0.25">
      <c r="A90" s="246"/>
      <c r="B90" s="229"/>
      <c r="C90" s="233"/>
      <c r="D90" s="210"/>
      <c r="E90" s="241"/>
      <c r="F90" s="242"/>
      <c r="G90" s="243"/>
    </row>
    <row r="91" spans="1:7" ht="11.85" customHeight="1" x14ac:dyDescent="0.25">
      <c r="A91" s="424"/>
      <c r="B91" s="204"/>
      <c r="C91" s="205"/>
      <c r="D91" s="205"/>
      <c r="E91" s="425"/>
      <c r="F91" s="426"/>
      <c r="G91" s="205"/>
    </row>
    <row r="92" spans="1:7" ht="11.85" customHeight="1" x14ac:dyDescent="0.25">
      <c r="A92" s="246"/>
      <c r="B92" s="229"/>
      <c r="C92" s="247"/>
      <c r="D92" s="229"/>
      <c r="E92" s="241"/>
      <c r="F92" s="242"/>
      <c r="G92" s="243"/>
    </row>
    <row r="93" spans="1:7" ht="11.85" customHeight="1" x14ac:dyDescent="0.25">
      <c r="A93" s="424"/>
      <c r="B93" s="204"/>
      <c r="C93" s="205"/>
      <c r="D93" s="205"/>
      <c r="E93" s="425"/>
      <c r="F93" s="426"/>
      <c r="G93" s="205"/>
    </row>
    <row r="94" spans="1:7" ht="11.85" customHeight="1" x14ac:dyDescent="0.25">
      <c r="A94" s="246"/>
      <c r="B94" s="229"/>
      <c r="C94" s="247"/>
      <c r="D94" s="229"/>
      <c r="E94" s="241"/>
      <c r="F94" s="242"/>
      <c r="G94" s="243"/>
    </row>
    <row r="95" spans="1:7" ht="11.85" customHeight="1" x14ac:dyDescent="0.25">
      <c r="A95" s="424"/>
      <c r="B95" s="204"/>
      <c r="C95" s="205"/>
      <c r="D95" s="205"/>
      <c r="E95" s="425"/>
      <c r="F95" s="426"/>
      <c r="G95" s="205"/>
    </row>
    <row r="96" spans="1:7" ht="28.5" customHeight="1" x14ac:dyDescent="0.25">
      <c r="A96" s="526" t="s">
        <v>791</v>
      </c>
      <c r="B96" s="526"/>
      <c r="C96" s="526"/>
      <c r="D96" s="526"/>
      <c r="E96" s="526"/>
      <c r="F96" s="526"/>
      <c r="G96" s="159"/>
    </row>
    <row r="97" spans="1:7" ht="11.85" customHeight="1" x14ac:dyDescent="0.25">
      <c r="A97" s="424"/>
      <c r="B97" s="204"/>
      <c r="C97" s="205"/>
      <c r="D97" s="205"/>
      <c r="E97" s="425"/>
      <c r="F97" s="426"/>
      <c r="G97" s="205"/>
    </row>
    <row r="98" spans="1:7" ht="11.85" customHeight="1" x14ac:dyDescent="0.25">
      <c r="A98" s="329" t="s">
        <v>180</v>
      </c>
      <c r="B98" s="283"/>
      <c r="C98" s="284" t="s">
        <v>792</v>
      </c>
      <c r="D98" s="229"/>
      <c r="E98" s="241"/>
      <c r="F98" s="242"/>
      <c r="G98" s="243"/>
    </row>
    <row r="99" spans="1:7" ht="11.85" customHeight="1" x14ac:dyDescent="0.25">
      <c r="A99" s="424"/>
      <c r="B99" s="204"/>
      <c r="C99" s="205"/>
      <c r="D99" s="205"/>
      <c r="E99" s="425"/>
      <c r="F99" s="426"/>
      <c r="G99" s="205"/>
    </row>
    <row r="100" spans="1:7" ht="11.85" customHeight="1" x14ac:dyDescent="0.25">
      <c r="A100" s="246"/>
      <c r="B100" s="283"/>
      <c r="C100" s="119" t="s">
        <v>846</v>
      </c>
      <c r="D100" s="229"/>
      <c r="E100" s="241"/>
      <c r="F100" s="242"/>
      <c r="G100" s="243"/>
    </row>
    <row r="101" spans="1:7" ht="11.85" customHeight="1" x14ac:dyDescent="0.25">
      <c r="A101" s="424"/>
      <c r="B101" s="204"/>
      <c r="C101" s="205"/>
      <c r="D101" s="205"/>
      <c r="E101" s="425"/>
      <c r="F101" s="426"/>
      <c r="G101" s="205"/>
    </row>
    <row r="102" spans="1:7" ht="24" x14ac:dyDescent="0.25">
      <c r="A102" s="227" t="s">
        <v>439</v>
      </c>
      <c r="B102" s="207" t="s">
        <v>14</v>
      </c>
      <c r="C102" s="38" t="s">
        <v>241</v>
      </c>
      <c r="D102" s="229"/>
      <c r="E102" s="241"/>
      <c r="F102" s="242"/>
      <c r="G102" s="243"/>
    </row>
    <row r="103" spans="1:7" ht="11.85" customHeight="1" x14ac:dyDescent="0.25">
      <c r="A103" s="424"/>
      <c r="B103" s="204"/>
      <c r="C103" s="205"/>
      <c r="D103" s="205"/>
      <c r="E103" s="425"/>
      <c r="F103" s="426"/>
      <c r="G103" s="205"/>
    </row>
    <row r="104" spans="1:7" ht="36" x14ac:dyDescent="0.25">
      <c r="A104" s="214" t="s">
        <v>852</v>
      </c>
      <c r="B104" s="210" t="s">
        <v>2191</v>
      </c>
      <c r="C104" s="119" t="s">
        <v>793</v>
      </c>
      <c r="D104" s="210" t="s">
        <v>88</v>
      </c>
      <c r="E104" s="211">
        <f>ROUND(2.1*2*0.3*2*115%,1)*2</f>
        <v>5.8</v>
      </c>
      <c r="F104" s="234"/>
      <c r="G104" s="232"/>
    </row>
    <row r="105" spans="1:7" ht="11.85" customHeight="1" x14ac:dyDescent="0.25">
      <c r="A105" s="424"/>
      <c r="B105" s="204"/>
      <c r="C105" s="205"/>
      <c r="D105" s="205"/>
      <c r="E105" s="425"/>
      <c r="F105" s="426"/>
      <c r="G105" s="205"/>
    </row>
    <row r="106" spans="1:7" ht="24" x14ac:dyDescent="0.25">
      <c r="A106" s="227" t="s">
        <v>1373</v>
      </c>
      <c r="B106" s="207" t="s">
        <v>244</v>
      </c>
      <c r="C106" s="38" t="s">
        <v>9</v>
      </c>
      <c r="D106" s="229"/>
      <c r="E106" s="241"/>
      <c r="F106" s="242"/>
      <c r="G106" s="243"/>
    </row>
    <row r="107" spans="1:7" ht="11.85" customHeight="1" x14ac:dyDescent="0.25">
      <c r="A107" s="424"/>
      <c r="B107" s="204"/>
      <c r="C107" s="205"/>
      <c r="D107" s="205"/>
      <c r="E107" s="425"/>
      <c r="F107" s="426"/>
      <c r="G107" s="205"/>
    </row>
    <row r="108" spans="1:7" ht="36" x14ac:dyDescent="0.25">
      <c r="A108" s="214" t="s">
        <v>1374</v>
      </c>
      <c r="B108" s="210" t="s">
        <v>563</v>
      </c>
      <c r="C108" s="119" t="s">
        <v>790</v>
      </c>
      <c r="D108" s="210" t="s">
        <v>88</v>
      </c>
      <c r="E108" s="219">
        <f>ROUND(2.1*2*0.15,1)*2</f>
        <v>1.2</v>
      </c>
      <c r="F108" s="274"/>
      <c r="G108" s="255"/>
    </row>
    <row r="109" spans="1:7" ht="11.85" customHeight="1" x14ac:dyDescent="0.25">
      <c r="A109" s="424"/>
      <c r="B109" s="204"/>
      <c r="C109" s="205"/>
      <c r="D109" s="205"/>
      <c r="E109" s="425"/>
      <c r="F109" s="426"/>
      <c r="G109" s="205"/>
    </row>
    <row r="110" spans="1:7" ht="24" x14ac:dyDescent="0.25">
      <c r="A110" s="227" t="s">
        <v>1375</v>
      </c>
      <c r="B110" s="207" t="s">
        <v>148</v>
      </c>
      <c r="C110" s="38" t="s">
        <v>422</v>
      </c>
      <c r="D110" s="229"/>
      <c r="E110" s="241"/>
      <c r="F110" s="242"/>
      <c r="G110" s="243"/>
    </row>
    <row r="111" spans="1:7" ht="11.85" customHeight="1" x14ac:dyDescent="0.25">
      <c r="A111" s="424"/>
      <c r="B111" s="204"/>
      <c r="C111" s="205"/>
      <c r="D111" s="205"/>
      <c r="E111" s="425"/>
      <c r="F111" s="426"/>
      <c r="G111" s="205"/>
    </row>
    <row r="112" spans="1:7" ht="11.85" customHeight="1" x14ac:dyDescent="0.25">
      <c r="A112" s="246"/>
      <c r="B112" s="206">
        <v>8.1999999999999993</v>
      </c>
      <c r="C112" s="218" t="s">
        <v>149</v>
      </c>
      <c r="D112" s="229"/>
      <c r="E112" s="241"/>
      <c r="F112" s="242"/>
      <c r="G112" s="243"/>
    </row>
    <row r="113" spans="1:7" ht="11.85" customHeight="1" x14ac:dyDescent="0.25">
      <c r="A113" s="424"/>
      <c r="B113" s="204"/>
      <c r="C113" s="205"/>
      <c r="D113" s="205"/>
      <c r="E113" s="425"/>
      <c r="F113" s="426"/>
      <c r="G113" s="205"/>
    </row>
    <row r="114" spans="1:7" ht="11.85" customHeight="1" x14ac:dyDescent="0.25">
      <c r="A114" s="246"/>
      <c r="B114" s="206"/>
      <c r="C114" s="154" t="s">
        <v>172</v>
      </c>
      <c r="D114" s="229"/>
      <c r="E114" s="241"/>
      <c r="F114" s="242"/>
      <c r="G114" s="243"/>
    </row>
    <row r="115" spans="1:7" ht="11.85" customHeight="1" x14ac:dyDescent="0.25">
      <c r="A115" s="424"/>
      <c r="B115" s="204"/>
      <c r="C115" s="205"/>
      <c r="D115" s="205"/>
      <c r="E115" s="425"/>
      <c r="F115" s="426"/>
      <c r="G115" s="205"/>
    </row>
    <row r="116" spans="1:7" ht="11.85" customHeight="1" x14ac:dyDescent="0.25">
      <c r="A116" s="214" t="s">
        <v>1376</v>
      </c>
      <c r="B116" s="142" t="s">
        <v>5</v>
      </c>
      <c r="C116" s="233" t="s">
        <v>794</v>
      </c>
      <c r="D116" s="142" t="s">
        <v>87</v>
      </c>
      <c r="E116" s="241">
        <f>+ROUND((2*0.2*2)+(2.1*0.2*2),1)*2</f>
        <v>3.2</v>
      </c>
      <c r="F116" s="242"/>
      <c r="G116" s="255"/>
    </row>
    <row r="117" spans="1:7" ht="11.85" customHeight="1" x14ac:dyDescent="0.25">
      <c r="A117" s="424"/>
      <c r="B117" s="204"/>
      <c r="C117" s="205"/>
      <c r="D117" s="205"/>
      <c r="E117" s="425"/>
      <c r="F117" s="426"/>
      <c r="G117" s="205"/>
    </row>
    <row r="118" spans="1:7" ht="24" x14ac:dyDescent="0.25">
      <c r="A118" s="214" t="s">
        <v>1377</v>
      </c>
      <c r="B118" s="210" t="s">
        <v>7</v>
      </c>
      <c r="C118" s="119" t="s">
        <v>797</v>
      </c>
      <c r="D118" s="142" t="s">
        <v>87</v>
      </c>
      <c r="E118" s="241">
        <f>+ROUND(((1.6*2*2)+(1.6*2.1*2)+(1.6*1.6*2)+(1.6*1.5*2))*2,1)</f>
        <v>46.1</v>
      </c>
      <c r="F118" s="242"/>
      <c r="G118" s="255"/>
    </row>
    <row r="119" spans="1:7" ht="11.85" customHeight="1" x14ac:dyDescent="0.25">
      <c r="A119" s="424"/>
      <c r="B119" s="204"/>
      <c r="C119" s="205"/>
      <c r="D119" s="205"/>
      <c r="E119" s="425"/>
      <c r="F119" s="426"/>
      <c r="G119" s="205"/>
    </row>
    <row r="120" spans="1:7" ht="11.85" customHeight="1" x14ac:dyDescent="0.25">
      <c r="A120" s="246"/>
      <c r="B120" s="273" t="s">
        <v>476</v>
      </c>
      <c r="C120" s="279" t="s">
        <v>798</v>
      </c>
      <c r="D120" s="229"/>
      <c r="E120" s="241"/>
      <c r="F120" s="242"/>
      <c r="G120" s="243"/>
    </row>
    <row r="121" spans="1:7" ht="11.85" customHeight="1" x14ac:dyDescent="0.25">
      <c r="A121" s="424"/>
      <c r="B121" s="204"/>
      <c r="C121" s="205"/>
      <c r="D121" s="205"/>
      <c r="E121" s="425"/>
      <c r="F121" s="426"/>
      <c r="G121" s="205"/>
    </row>
    <row r="122" spans="1:7" ht="24" x14ac:dyDescent="0.25">
      <c r="A122" s="214" t="s">
        <v>1378</v>
      </c>
      <c r="B122" s="229"/>
      <c r="C122" s="119" t="s">
        <v>799</v>
      </c>
      <c r="D122" s="142" t="s">
        <v>8</v>
      </c>
      <c r="E122" s="241">
        <v>2</v>
      </c>
      <c r="F122" s="242"/>
      <c r="G122" s="255"/>
    </row>
    <row r="123" spans="1:7" ht="11.85" customHeight="1" x14ac:dyDescent="0.25">
      <c r="A123" s="424"/>
      <c r="B123" s="204"/>
      <c r="C123" s="205"/>
      <c r="D123" s="205"/>
      <c r="E123" s="425"/>
      <c r="F123" s="426"/>
      <c r="G123" s="205"/>
    </row>
    <row r="124" spans="1:7" ht="11.85" customHeight="1" x14ac:dyDescent="0.25">
      <c r="A124" s="214" t="s">
        <v>1379</v>
      </c>
      <c r="B124" s="229"/>
      <c r="C124" s="119" t="s">
        <v>800</v>
      </c>
      <c r="D124" s="210" t="s">
        <v>8</v>
      </c>
      <c r="E124" s="241">
        <v>2</v>
      </c>
      <c r="F124" s="242"/>
      <c r="G124" s="255"/>
    </row>
    <row r="125" spans="1:7" ht="11.85" customHeight="1" x14ac:dyDescent="0.25">
      <c r="A125" s="424"/>
      <c r="B125" s="204"/>
      <c r="C125" s="205"/>
      <c r="D125" s="205"/>
      <c r="E125" s="425"/>
      <c r="F125" s="426"/>
      <c r="G125" s="205"/>
    </row>
    <row r="126" spans="1:7" ht="11.85" customHeight="1" x14ac:dyDescent="0.25">
      <c r="A126" s="246"/>
      <c r="B126" s="207">
        <v>8.3000000000000007</v>
      </c>
      <c r="C126" s="38" t="s">
        <v>151</v>
      </c>
      <c r="D126" s="210"/>
      <c r="E126" s="219"/>
      <c r="F126" s="274"/>
      <c r="G126" s="233"/>
    </row>
    <row r="127" spans="1:7" ht="11.85" customHeight="1" x14ac:dyDescent="0.25">
      <c r="A127" s="424"/>
      <c r="B127" s="204"/>
      <c r="C127" s="205"/>
      <c r="D127" s="205"/>
      <c r="E127" s="425"/>
      <c r="F127" s="426"/>
      <c r="G127" s="205"/>
    </row>
    <row r="128" spans="1:7" ht="11.85" customHeight="1" x14ac:dyDescent="0.25">
      <c r="A128" s="246"/>
      <c r="B128" s="210"/>
      <c r="C128" s="258" t="s">
        <v>406</v>
      </c>
      <c r="D128" s="210"/>
      <c r="E128" s="219"/>
      <c r="F128" s="274"/>
      <c r="G128" s="233"/>
    </row>
    <row r="129" spans="1:7" ht="11.85" customHeight="1" x14ac:dyDescent="0.25">
      <c r="A129" s="424"/>
      <c r="B129" s="204"/>
      <c r="C129" s="205"/>
      <c r="D129" s="205"/>
      <c r="E129" s="425"/>
      <c r="F129" s="426"/>
      <c r="G129" s="205"/>
    </row>
    <row r="130" spans="1:7" ht="11.85" customHeight="1" x14ac:dyDescent="0.25">
      <c r="A130" s="214" t="s">
        <v>1380</v>
      </c>
      <c r="B130" s="210" t="s">
        <v>26</v>
      </c>
      <c r="C130" s="119" t="s">
        <v>177</v>
      </c>
      <c r="D130" s="210" t="s">
        <v>92</v>
      </c>
      <c r="E130" s="219">
        <f>+ROUND(0.18*E140,1)</f>
        <v>1.2</v>
      </c>
      <c r="F130" s="274"/>
      <c r="G130" s="255"/>
    </row>
    <row r="131" spans="1:7" ht="11.85" customHeight="1" x14ac:dyDescent="0.25">
      <c r="A131" s="424"/>
      <c r="B131" s="204"/>
      <c r="C131" s="205"/>
      <c r="D131" s="205"/>
      <c r="E131" s="425"/>
      <c r="F131" s="426"/>
      <c r="G131" s="205"/>
    </row>
    <row r="132" spans="1:7" ht="11.85" customHeight="1" x14ac:dyDescent="0.25">
      <c r="A132" s="214" t="s">
        <v>1381</v>
      </c>
      <c r="B132" s="210" t="s">
        <v>477</v>
      </c>
      <c r="C132" s="119" t="s">
        <v>801</v>
      </c>
      <c r="D132" s="142" t="s">
        <v>87</v>
      </c>
      <c r="E132" s="241">
        <f>ROUND(2.1*2*2,1)</f>
        <v>8.4</v>
      </c>
      <c r="F132" s="242"/>
      <c r="G132" s="255"/>
    </row>
    <row r="133" spans="1:7" ht="11.85" customHeight="1" x14ac:dyDescent="0.25">
      <c r="A133" s="424"/>
      <c r="B133" s="204"/>
      <c r="C133" s="205"/>
      <c r="D133" s="205"/>
      <c r="E133" s="425"/>
      <c r="F133" s="426"/>
      <c r="G133" s="205"/>
    </row>
    <row r="134" spans="1:7" ht="11.85" customHeight="1" x14ac:dyDescent="0.25">
      <c r="A134" s="246"/>
      <c r="B134" s="207">
        <v>8.4</v>
      </c>
      <c r="C134" s="38" t="s">
        <v>152</v>
      </c>
      <c r="D134" s="210"/>
      <c r="E134" s="219"/>
      <c r="F134" s="274"/>
      <c r="G134" s="233"/>
    </row>
    <row r="135" spans="1:7" ht="11.85" customHeight="1" x14ac:dyDescent="0.25">
      <c r="A135" s="424"/>
      <c r="B135" s="204"/>
      <c r="C135" s="205"/>
      <c r="D135" s="205"/>
      <c r="E135" s="425"/>
      <c r="F135" s="426"/>
      <c r="G135" s="205"/>
    </row>
    <row r="136" spans="1:7" ht="11.85" customHeight="1" x14ac:dyDescent="0.25">
      <c r="A136" s="246"/>
      <c r="B136" s="210"/>
      <c r="C136" s="258" t="s">
        <v>407</v>
      </c>
      <c r="D136" s="210"/>
      <c r="E136" s="219"/>
      <c r="F136" s="274"/>
      <c r="G136" s="281"/>
    </row>
    <row r="137" spans="1:7" ht="11.85" customHeight="1" x14ac:dyDescent="0.25">
      <c r="A137" s="424"/>
      <c r="B137" s="204"/>
      <c r="C137" s="205"/>
      <c r="D137" s="205"/>
      <c r="E137" s="425"/>
      <c r="F137" s="426"/>
      <c r="G137" s="205"/>
    </row>
    <row r="138" spans="1:7" x14ac:dyDescent="0.25">
      <c r="A138" s="246"/>
      <c r="B138" s="221" t="s">
        <v>94</v>
      </c>
      <c r="C138" s="212" t="s">
        <v>525</v>
      </c>
      <c r="D138" s="142"/>
      <c r="E138" s="219"/>
      <c r="F138" s="274"/>
      <c r="G138" s="255"/>
    </row>
    <row r="139" spans="1:7" x14ac:dyDescent="0.25">
      <c r="A139" s="424"/>
      <c r="B139" s="204"/>
      <c r="C139" s="205"/>
      <c r="D139" s="205"/>
      <c r="E139" s="425"/>
      <c r="F139" s="426"/>
      <c r="G139" s="205"/>
    </row>
    <row r="140" spans="1:7" ht="24" x14ac:dyDescent="0.25">
      <c r="A140" s="214" t="s">
        <v>1382</v>
      </c>
      <c r="B140" s="210"/>
      <c r="C140" s="119" t="s">
        <v>802</v>
      </c>
      <c r="D140" s="142" t="s">
        <v>88</v>
      </c>
      <c r="E140" s="219">
        <f>ROUND((1.8*1.4)+(2.1*2*0.2),1)*2</f>
        <v>6.8</v>
      </c>
      <c r="F140" s="274"/>
      <c r="G140" s="255"/>
    </row>
    <row r="141" spans="1:7" x14ac:dyDescent="0.25">
      <c r="A141" s="424"/>
      <c r="B141" s="204"/>
      <c r="C141" s="205"/>
      <c r="D141" s="205"/>
      <c r="E141" s="425"/>
      <c r="F141" s="426"/>
      <c r="G141" s="205"/>
    </row>
    <row r="142" spans="1:7" ht="28.5" customHeight="1" x14ac:dyDescent="0.25">
      <c r="A142" s="526" t="s">
        <v>609</v>
      </c>
      <c r="B142" s="526"/>
      <c r="C142" s="526"/>
      <c r="D142" s="526"/>
      <c r="E142" s="526"/>
      <c r="F142" s="526"/>
      <c r="G142" s="158"/>
    </row>
    <row r="143" spans="1:7" ht="28.5" customHeight="1" x14ac:dyDescent="0.25">
      <c r="A143" s="526" t="s">
        <v>610</v>
      </c>
      <c r="B143" s="526"/>
      <c r="C143" s="526"/>
      <c r="D143" s="526"/>
      <c r="E143" s="526"/>
      <c r="F143" s="526"/>
      <c r="G143" s="158"/>
    </row>
    <row r="144" spans="1:7" x14ac:dyDescent="0.25">
      <c r="A144" s="424"/>
      <c r="B144" s="204"/>
      <c r="C144" s="205"/>
      <c r="D144" s="205"/>
      <c r="E144" s="425"/>
      <c r="F144" s="426"/>
      <c r="G144" s="205"/>
    </row>
    <row r="145" spans="1:7" ht="13.5" x14ac:dyDescent="0.25">
      <c r="A145" s="214" t="s">
        <v>1383</v>
      </c>
      <c r="B145" s="210"/>
      <c r="C145" s="119" t="s">
        <v>807</v>
      </c>
      <c r="D145" s="142" t="s">
        <v>88</v>
      </c>
      <c r="E145" s="219">
        <f>+ROUND(0.288*1.5*2,1)</f>
        <v>0.9</v>
      </c>
      <c r="F145" s="274"/>
      <c r="G145" s="255"/>
    </row>
    <row r="146" spans="1:7" x14ac:dyDescent="0.25">
      <c r="A146" s="424"/>
      <c r="B146" s="204"/>
      <c r="C146" s="205"/>
      <c r="D146" s="205"/>
      <c r="E146" s="425"/>
      <c r="F146" s="426"/>
      <c r="G146" s="205"/>
    </row>
    <row r="147" spans="1:7" ht="13.5" x14ac:dyDescent="0.25">
      <c r="A147" s="214" t="s">
        <v>1384</v>
      </c>
      <c r="B147" s="210"/>
      <c r="C147" s="220" t="s">
        <v>808</v>
      </c>
      <c r="D147" s="142" t="s">
        <v>88</v>
      </c>
      <c r="E147" s="219">
        <f>ROUND(2.1*2*0.05*2,1)</f>
        <v>0.4</v>
      </c>
      <c r="F147" s="274"/>
      <c r="G147" s="255"/>
    </row>
    <row r="148" spans="1:7" x14ac:dyDescent="0.25">
      <c r="A148" s="424"/>
      <c r="B148" s="204"/>
      <c r="C148" s="205"/>
      <c r="D148" s="205"/>
      <c r="E148" s="425"/>
      <c r="F148" s="426"/>
      <c r="G148" s="205"/>
    </row>
    <row r="149" spans="1:7" ht="11.85" customHeight="1" x14ac:dyDescent="0.25">
      <c r="A149" s="214" t="s">
        <v>1385</v>
      </c>
      <c r="B149" s="210" t="s">
        <v>58</v>
      </c>
      <c r="C149" s="119" t="s">
        <v>803</v>
      </c>
      <c r="D149" s="142" t="s">
        <v>87</v>
      </c>
      <c r="E149" s="241">
        <f>1.8*2</f>
        <v>3.6</v>
      </c>
      <c r="F149" s="242"/>
      <c r="G149" s="255"/>
    </row>
    <row r="150" spans="1:7" ht="11.85" customHeight="1" x14ac:dyDescent="0.25">
      <c r="A150" s="424"/>
      <c r="B150" s="204"/>
      <c r="C150" s="205"/>
      <c r="D150" s="205"/>
      <c r="E150" s="425"/>
      <c r="F150" s="426"/>
      <c r="G150" s="205"/>
    </row>
    <row r="151" spans="1:7" ht="24" x14ac:dyDescent="0.25">
      <c r="A151" s="246"/>
      <c r="B151" s="207">
        <v>8.5</v>
      </c>
      <c r="C151" s="38" t="s">
        <v>2351</v>
      </c>
      <c r="D151" s="229"/>
      <c r="E151" s="241"/>
      <c r="F151" s="242"/>
      <c r="G151" s="243"/>
    </row>
    <row r="152" spans="1:7" ht="11.85" customHeight="1" x14ac:dyDescent="0.25">
      <c r="A152" s="424"/>
      <c r="B152" s="204"/>
      <c r="C152" s="205"/>
      <c r="D152" s="205"/>
      <c r="E152" s="425"/>
      <c r="F152" s="426"/>
      <c r="G152" s="205"/>
    </row>
    <row r="153" spans="1:7" ht="48" x14ac:dyDescent="0.25">
      <c r="A153" s="214" t="s">
        <v>1386</v>
      </c>
      <c r="B153" s="229"/>
      <c r="C153" s="233" t="s">
        <v>578</v>
      </c>
      <c r="D153" s="210" t="s">
        <v>6</v>
      </c>
      <c r="E153" s="241">
        <f>+(2.1+2.1+2+2)*2</f>
        <v>16.399999999999999</v>
      </c>
      <c r="F153" s="242"/>
      <c r="G153" s="255"/>
    </row>
    <row r="154" spans="1:7" ht="11.85" customHeight="1" x14ac:dyDescent="0.25">
      <c r="A154" s="424"/>
      <c r="B154" s="204"/>
      <c r="C154" s="205"/>
      <c r="D154" s="205"/>
      <c r="E154" s="425"/>
      <c r="F154" s="426"/>
      <c r="G154" s="205"/>
    </row>
    <row r="155" spans="1:7" ht="36" x14ac:dyDescent="0.25">
      <c r="A155" s="214" t="s">
        <v>1387</v>
      </c>
      <c r="B155" s="229"/>
      <c r="C155" s="233" t="s">
        <v>520</v>
      </c>
      <c r="D155" s="210" t="s">
        <v>6</v>
      </c>
      <c r="E155" s="241">
        <f>E153</f>
        <v>16.399999999999999</v>
      </c>
      <c r="F155" s="242"/>
      <c r="G155" s="255"/>
    </row>
    <row r="156" spans="1:7" ht="11.85" customHeight="1" x14ac:dyDescent="0.25">
      <c r="A156" s="424"/>
      <c r="B156" s="204"/>
      <c r="C156" s="205"/>
      <c r="D156" s="205"/>
      <c r="E156" s="425"/>
      <c r="F156" s="426"/>
      <c r="G156" s="205"/>
    </row>
    <row r="157" spans="1:7" ht="36" x14ac:dyDescent="0.25">
      <c r="A157" s="214" t="s">
        <v>1388</v>
      </c>
      <c r="B157" s="210">
        <v>8.6999999999999993</v>
      </c>
      <c r="C157" s="119" t="s">
        <v>804</v>
      </c>
      <c r="D157" s="210" t="s">
        <v>28</v>
      </c>
      <c r="E157" s="241">
        <v>1</v>
      </c>
      <c r="F157" s="242"/>
      <c r="G157" s="255"/>
    </row>
    <row r="158" spans="1:7" ht="11.85" customHeight="1" x14ac:dyDescent="0.25">
      <c r="A158" s="424"/>
      <c r="B158" s="204"/>
      <c r="C158" s="205"/>
      <c r="D158" s="205"/>
      <c r="E158" s="425"/>
      <c r="F158" s="426"/>
      <c r="G158" s="205"/>
    </row>
    <row r="159" spans="1:7" ht="24" x14ac:dyDescent="0.25">
      <c r="A159" s="227" t="s">
        <v>1389</v>
      </c>
      <c r="B159" s="207" t="s">
        <v>3</v>
      </c>
      <c r="C159" s="38" t="s">
        <v>4</v>
      </c>
      <c r="D159" s="229"/>
      <c r="E159" s="241"/>
      <c r="F159" s="242"/>
      <c r="G159" s="243"/>
    </row>
    <row r="160" spans="1:7" ht="11.85" customHeight="1" x14ac:dyDescent="0.25">
      <c r="A160" s="424"/>
      <c r="B160" s="204"/>
      <c r="C160" s="205"/>
      <c r="D160" s="205"/>
      <c r="E160" s="425"/>
      <c r="F160" s="426"/>
      <c r="G160" s="205"/>
    </row>
    <row r="161" spans="1:7" ht="36" x14ac:dyDescent="0.25">
      <c r="A161" s="214" t="s">
        <v>1390</v>
      </c>
      <c r="B161" s="210" t="s">
        <v>13</v>
      </c>
      <c r="C161" s="119" t="s">
        <v>813</v>
      </c>
      <c r="D161" s="210" t="s">
        <v>8</v>
      </c>
      <c r="E161" s="241">
        <v>2</v>
      </c>
      <c r="F161" s="242"/>
      <c r="G161" s="255"/>
    </row>
    <row r="162" spans="1:7" ht="11.85" customHeight="1" x14ac:dyDescent="0.25">
      <c r="A162" s="424"/>
      <c r="B162" s="204"/>
      <c r="C162" s="205"/>
      <c r="D162" s="205"/>
      <c r="E162" s="425"/>
      <c r="F162" s="426"/>
      <c r="G162" s="205"/>
    </row>
    <row r="163" spans="1:7" ht="11.85" customHeight="1" x14ac:dyDescent="0.25">
      <c r="A163" s="227" t="s">
        <v>1391</v>
      </c>
      <c r="B163" s="229"/>
      <c r="C163" s="38" t="s">
        <v>805</v>
      </c>
      <c r="D163" s="229"/>
      <c r="E163" s="241"/>
      <c r="F163" s="242"/>
      <c r="G163" s="243"/>
    </row>
    <row r="164" spans="1:7" ht="11.85" customHeight="1" x14ac:dyDescent="0.25">
      <c r="A164" s="424"/>
      <c r="B164" s="204"/>
      <c r="C164" s="205"/>
      <c r="D164" s="205"/>
      <c r="E164" s="425"/>
      <c r="F164" s="426"/>
      <c r="G164" s="205"/>
    </row>
    <row r="165" spans="1:7" ht="48" x14ac:dyDescent="0.25">
      <c r="A165" s="214" t="s">
        <v>1392</v>
      </c>
      <c r="B165" s="229"/>
      <c r="C165" s="119" t="s">
        <v>806</v>
      </c>
      <c r="D165" s="210" t="s">
        <v>8</v>
      </c>
      <c r="E165" s="241">
        <v>2</v>
      </c>
      <c r="F165" s="242"/>
      <c r="G165" s="255"/>
    </row>
    <row r="166" spans="1:7" ht="11.85" customHeight="1" x14ac:dyDescent="0.25">
      <c r="A166" s="424"/>
      <c r="B166" s="204"/>
      <c r="C166" s="205"/>
      <c r="D166" s="205"/>
      <c r="E166" s="425"/>
      <c r="F166" s="426"/>
      <c r="G166" s="205"/>
    </row>
    <row r="167" spans="1:7" ht="11.85" customHeight="1" x14ac:dyDescent="0.25">
      <c r="A167" s="246"/>
      <c r="B167" s="229"/>
      <c r="C167" s="37"/>
      <c r="D167" s="229"/>
      <c r="E167" s="241"/>
      <c r="F167" s="242"/>
      <c r="G167" s="243"/>
    </row>
    <row r="168" spans="1:7" ht="11.85" customHeight="1" x14ac:dyDescent="0.25">
      <c r="A168" s="424"/>
      <c r="B168" s="204"/>
      <c r="C168" s="205"/>
      <c r="D168" s="205"/>
      <c r="E168" s="425"/>
      <c r="F168" s="426"/>
      <c r="G168" s="205"/>
    </row>
    <row r="169" spans="1:7" ht="11.85" customHeight="1" x14ac:dyDescent="0.25">
      <c r="A169" s="246"/>
      <c r="B169" s="229"/>
      <c r="C169" s="37"/>
      <c r="D169" s="229"/>
      <c r="E169" s="241"/>
      <c r="F169" s="242"/>
      <c r="G169" s="243"/>
    </row>
    <row r="170" spans="1:7" ht="11.85" customHeight="1" x14ac:dyDescent="0.25">
      <c r="A170" s="424"/>
      <c r="B170" s="204"/>
      <c r="C170" s="205"/>
      <c r="D170" s="205"/>
      <c r="E170" s="425"/>
      <c r="F170" s="426"/>
      <c r="G170" s="205"/>
    </row>
    <row r="171" spans="1:7" ht="11.85" customHeight="1" x14ac:dyDescent="0.25">
      <c r="A171" s="246"/>
      <c r="B171" s="229"/>
      <c r="C171" s="37"/>
      <c r="D171" s="229"/>
      <c r="E171" s="241"/>
      <c r="F171" s="242"/>
      <c r="G171" s="243"/>
    </row>
    <row r="172" spans="1:7" ht="11.85" customHeight="1" x14ac:dyDescent="0.25">
      <c r="A172" s="424"/>
      <c r="B172" s="204"/>
      <c r="C172" s="205"/>
      <c r="D172" s="205"/>
      <c r="E172" s="425"/>
      <c r="F172" s="426"/>
      <c r="G172" s="205"/>
    </row>
    <row r="173" spans="1:7" ht="11.85" customHeight="1" x14ac:dyDescent="0.25">
      <c r="A173" s="246"/>
      <c r="B173" s="229"/>
      <c r="C173" s="37"/>
      <c r="D173" s="229"/>
      <c r="E173" s="241"/>
      <c r="F173" s="242"/>
      <c r="G173" s="243"/>
    </row>
    <row r="174" spans="1:7" ht="11.85" customHeight="1" x14ac:dyDescent="0.25">
      <c r="A174" s="424"/>
      <c r="B174" s="204"/>
      <c r="C174" s="205"/>
      <c r="D174" s="205"/>
      <c r="E174" s="425"/>
      <c r="F174" s="426"/>
      <c r="G174" s="205"/>
    </row>
    <row r="175" spans="1:7" ht="11.85" customHeight="1" x14ac:dyDescent="0.25">
      <c r="A175" s="246"/>
      <c r="B175" s="229"/>
      <c r="C175" s="37"/>
      <c r="D175" s="229"/>
      <c r="E175" s="241"/>
      <c r="F175" s="242"/>
      <c r="G175" s="243"/>
    </row>
    <row r="176" spans="1:7" ht="11.85" customHeight="1" x14ac:dyDescent="0.25">
      <c r="A176" s="424"/>
      <c r="B176" s="204"/>
      <c r="C176" s="205"/>
      <c r="D176" s="205"/>
      <c r="E176" s="425"/>
      <c r="F176" s="426"/>
      <c r="G176" s="205"/>
    </row>
    <row r="177" spans="1:7" ht="11.85" customHeight="1" x14ac:dyDescent="0.25">
      <c r="A177" s="246"/>
      <c r="B177" s="229"/>
      <c r="C177" s="37"/>
      <c r="D177" s="229"/>
      <c r="E177" s="241"/>
      <c r="F177" s="242"/>
      <c r="G177" s="243"/>
    </row>
    <row r="178" spans="1:7" ht="11.85" customHeight="1" x14ac:dyDescent="0.25">
      <c r="A178" s="424"/>
      <c r="B178" s="204"/>
      <c r="C178" s="205"/>
      <c r="D178" s="205"/>
      <c r="E178" s="425"/>
      <c r="F178" s="426"/>
      <c r="G178" s="205"/>
    </row>
    <row r="179" spans="1:7" ht="11.85" customHeight="1" x14ac:dyDescent="0.25">
      <c r="A179" s="246"/>
      <c r="B179" s="229"/>
      <c r="C179" s="37"/>
      <c r="D179" s="229"/>
      <c r="E179" s="241"/>
      <c r="F179" s="242"/>
      <c r="G179" s="243"/>
    </row>
    <row r="180" spans="1:7" ht="11.85" customHeight="1" x14ac:dyDescent="0.25">
      <c r="A180" s="424"/>
      <c r="B180" s="204"/>
      <c r="C180" s="205"/>
      <c r="D180" s="205"/>
      <c r="E180" s="425"/>
      <c r="F180" s="426"/>
      <c r="G180" s="205"/>
    </row>
    <row r="181" spans="1:7" ht="11.85" customHeight="1" x14ac:dyDescent="0.25">
      <c r="A181" s="246"/>
      <c r="B181" s="229"/>
      <c r="C181" s="37"/>
      <c r="D181" s="229"/>
      <c r="E181" s="241"/>
      <c r="F181" s="242"/>
      <c r="G181" s="243"/>
    </row>
    <row r="182" spans="1:7" ht="11.85" customHeight="1" x14ac:dyDescent="0.25">
      <c r="A182" s="424"/>
      <c r="B182" s="204"/>
      <c r="C182" s="205"/>
      <c r="D182" s="205"/>
      <c r="E182" s="425"/>
      <c r="F182" s="426"/>
      <c r="G182" s="205"/>
    </row>
    <row r="183" spans="1:7" ht="28.5" customHeight="1" x14ac:dyDescent="0.25">
      <c r="A183" s="526" t="s">
        <v>809</v>
      </c>
      <c r="B183" s="526"/>
      <c r="C183" s="526"/>
      <c r="D183" s="526"/>
      <c r="E183" s="526"/>
      <c r="F183" s="526"/>
      <c r="G183" s="159"/>
    </row>
    <row r="184" spans="1:7" ht="11.85" customHeight="1" x14ac:dyDescent="0.25">
      <c r="A184" s="424"/>
      <c r="B184" s="204"/>
      <c r="C184" s="205"/>
      <c r="D184" s="205"/>
      <c r="E184" s="425"/>
      <c r="F184" s="426"/>
      <c r="G184" s="205"/>
    </row>
    <row r="185" spans="1:7" ht="24" x14ac:dyDescent="0.25">
      <c r="A185" s="329" t="s">
        <v>390</v>
      </c>
      <c r="B185" s="283"/>
      <c r="C185" s="284" t="s">
        <v>810</v>
      </c>
      <c r="D185" s="229"/>
      <c r="E185" s="241"/>
      <c r="F185" s="242"/>
      <c r="G185" s="243"/>
    </row>
    <row r="186" spans="1:7" x14ac:dyDescent="0.25">
      <c r="A186" s="424"/>
      <c r="B186" s="204"/>
      <c r="C186" s="205"/>
      <c r="D186" s="205"/>
      <c r="E186" s="425"/>
      <c r="F186" s="426"/>
      <c r="G186" s="205"/>
    </row>
    <row r="187" spans="1:7" x14ac:dyDescent="0.25">
      <c r="A187" s="246"/>
      <c r="B187" s="283"/>
      <c r="C187" s="119" t="s">
        <v>845</v>
      </c>
      <c r="D187" s="229"/>
      <c r="E187" s="241"/>
      <c r="F187" s="242"/>
      <c r="G187" s="243"/>
    </row>
    <row r="188" spans="1:7" ht="11.85" customHeight="1" x14ac:dyDescent="0.25">
      <c r="A188" s="424"/>
      <c r="B188" s="204"/>
      <c r="C188" s="205"/>
      <c r="D188" s="205"/>
      <c r="E188" s="425"/>
      <c r="F188" s="426"/>
      <c r="G188" s="205"/>
    </row>
    <row r="189" spans="1:7" ht="24" x14ac:dyDescent="0.25">
      <c r="A189" s="227" t="s">
        <v>1393</v>
      </c>
      <c r="B189" s="207" t="s">
        <v>14</v>
      </c>
      <c r="C189" s="38" t="s">
        <v>241</v>
      </c>
      <c r="D189" s="229"/>
      <c r="E189" s="241"/>
      <c r="F189" s="242"/>
      <c r="G189" s="243"/>
    </row>
    <row r="190" spans="1:7" ht="11.85" customHeight="1" x14ac:dyDescent="0.25">
      <c r="A190" s="424"/>
      <c r="B190" s="204"/>
      <c r="C190" s="205"/>
      <c r="D190" s="205"/>
      <c r="E190" s="425"/>
      <c r="F190" s="426"/>
      <c r="G190" s="205"/>
    </row>
    <row r="191" spans="1:7" ht="36" x14ac:dyDescent="0.25">
      <c r="A191" s="214" t="s">
        <v>1394</v>
      </c>
      <c r="B191" s="210" t="s">
        <v>2191</v>
      </c>
      <c r="C191" s="119" t="s">
        <v>814</v>
      </c>
      <c r="D191" s="210" t="s">
        <v>88</v>
      </c>
      <c r="E191" s="211">
        <f>ROUND(1.3*0.5*0.3*2*115%,1)*2</f>
        <v>0.8</v>
      </c>
      <c r="F191" s="234"/>
      <c r="G191" s="232"/>
    </row>
    <row r="192" spans="1:7" ht="11.85" customHeight="1" x14ac:dyDescent="0.25">
      <c r="A192" s="424"/>
      <c r="B192" s="204"/>
      <c r="C192" s="205"/>
      <c r="D192" s="205"/>
      <c r="E192" s="425"/>
      <c r="F192" s="426"/>
      <c r="G192" s="205"/>
    </row>
    <row r="193" spans="1:7" ht="24" x14ac:dyDescent="0.25">
      <c r="A193" s="227" t="s">
        <v>1395</v>
      </c>
      <c r="B193" s="207" t="s">
        <v>148</v>
      </c>
      <c r="C193" s="38" t="s">
        <v>422</v>
      </c>
      <c r="D193" s="229"/>
      <c r="E193" s="241"/>
      <c r="F193" s="242"/>
      <c r="G193" s="243"/>
    </row>
    <row r="194" spans="1:7" ht="11.85" customHeight="1" x14ac:dyDescent="0.25">
      <c r="A194" s="424"/>
      <c r="B194" s="204"/>
      <c r="C194" s="205"/>
      <c r="D194" s="205"/>
      <c r="E194" s="425"/>
      <c r="F194" s="426"/>
      <c r="G194" s="205"/>
    </row>
    <row r="195" spans="1:7" ht="11.85" customHeight="1" x14ac:dyDescent="0.25">
      <c r="A195" s="246"/>
      <c r="B195" s="206">
        <v>8.1999999999999993</v>
      </c>
      <c r="C195" s="218" t="s">
        <v>149</v>
      </c>
      <c r="D195" s="229"/>
      <c r="E195" s="241"/>
      <c r="F195" s="242"/>
      <c r="G195" s="243"/>
    </row>
    <row r="196" spans="1:7" ht="11.85" customHeight="1" x14ac:dyDescent="0.25">
      <c r="A196" s="424"/>
      <c r="B196" s="204"/>
      <c r="C196" s="205"/>
      <c r="D196" s="205"/>
      <c r="E196" s="425"/>
      <c r="F196" s="426"/>
      <c r="G196" s="205"/>
    </row>
    <row r="197" spans="1:7" ht="11.85" customHeight="1" x14ac:dyDescent="0.25">
      <c r="A197" s="246"/>
      <c r="B197" s="206"/>
      <c r="C197" s="154" t="s">
        <v>172</v>
      </c>
      <c r="D197" s="229"/>
      <c r="E197" s="241"/>
      <c r="F197" s="242"/>
      <c r="G197" s="243"/>
    </row>
    <row r="198" spans="1:7" ht="11.85" customHeight="1" x14ac:dyDescent="0.25">
      <c r="A198" s="424"/>
      <c r="B198" s="204"/>
      <c r="C198" s="205"/>
      <c r="D198" s="205"/>
      <c r="E198" s="425"/>
      <c r="F198" s="426"/>
      <c r="G198" s="205"/>
    </row>
    <row r="199" spans="1:7" ht="11.85" customHeight="1" x14ac:dyDescent="0.25">
      <c r="A199" s="214" t="s">
        <v>1396</v>
      </c>
      <c r="B199" s="210" t="s">
        <v>5</v>
      </c>
      <c r="C199" s="119" t="s">
        <v>826</v>
      </c>
      <c r="D199" s="142" t="s">
        <v>87</v>
      </c>
      <c r="E199" s="241">
        <f>ROUND(0.35*0.05*4*2,1)</f>
        <v>0.1</v>
      </c>
      <c r="F199" s="242"/>
      <c r="G199" s="255"/>
    </row>
    <row r="200" spans="1:7" ht="11.85" customHeight="1" x14ac:dyDescent="0.25">
      <c r="A200" s="424"/>
      <c r="B200" s="204"/>
      <c r="C200" s="205"/>
      <c r="D200" s="205"/>
      <c r="E200" s="425"/>
      <c r="F200" s="426"/>
      <c r="G200" s="205"/>
    </row>
    <row r="201" spans="1:7" x14ac:dyDescent="0.25">
      <c r="A201" s="246"/>
      <c r="B201" s="210" t="s">
        <v>7</v>
      </c>
      <c r="C201" s="119" t="s">
        <v>795</v>
      </c>
      <c r="D201" s="142"/>
      <c r="E201" s="241"/>
      <c r="F201" s="242"/>
      <c r="G201" s="255"/>
    </row>
    <row r="202" spans="1:7" x14ac:dyDescent="0.25">
      <c r="A202" s="424"/>
      <c r="B202" s="204"/>
      <c r="C202" s="205"/>
      <c r="D202" s="205"/>
      <c r="E202" s="425"/>
      <c r="F202" s="426"/>
      <c r="G202" s="205"/>
    </row>
    <row r="203" spans="1:7" x14ac:dyDescent="0.25">
      <c r="A203" s="246"/>
      <c r="B203" s="210"/>
      <c r="C203" s="258" t="s">
        <v>175</v>
      </c>
      <c r="D203" s="142"/>
      <c r="E203" s="241"/>
      <c r="F203" s="242"/>
      <c r="G203" s="255"/>
    </row>
    <row r="204" spans="1:7" x14ac:dyDescent="0.25">
      <c r="A204" s="424"/>
      <c r="B204" s="204"/>
      <c r="C204" s="205"/>
      <c r="D204" s="205"/>
      <c r="E204" s="425"/>
      <c r="F204" s="426"/>
      <c r="G204" s="205"/>
    </row>
    <row r="205" spans="1:7" ht="13.5" x14ac:dyDescent="0.25">
      <c r="A205" s="214" t="s">
        <v>1397</v>
      </c>
      <c r="B205" s="210"/>
      <c r="C205" s="119" t="s">
        <v>796</v>
      </c>
      <c r="D205" s="142" t="s">
        <v>87</v>
      </c>
      <c r="E205" s="241">
        <f>+ROUND((1.6*2.5*4*2)+(2.1*2.5*4*2),1)</f>
        <v>74</v>
      </c>
      <c r="F205" s="242"/>
      <c r="G205" s="255"/>
    </row>
    <row r="206" spans="1:7" x14ac:dyDescent="0.25">
      <c r="A206" s="424"/>
      <c r="B206" s="204"/>
      <c r="C206" s="205"/>
      <c r="D206" s="205"/>
      <c r="E206" s="425"/>
      <c r="F206" s="426"/>
      <c r="G206" s="205"/>
    </row>
    <row r="207" spans="1:7" ht="13.5" x14ac:dyDescent="0.25">
      <c r="A207" s="214" t="s">
        <v>1398</v>
      </c>
      <c r="B207" s="210"/>
      <c r="C207" s="119" t="s">
        <v>815</v>
      </c>
      <c r="D207" s="142" t="s">
        <v>87</v>
      </c>
      <c r="E207" s="241">
        <f>ROUND((0.4*4*2*2)+(0.15*4*2*2)+(0.4*1.3*2),1)</f>
        <v>9.8000000000000007</v>
      </c>
      <c r="F207" s="242"/>
      <c r="G207" s="255"/>
    </row>
    <row r="208" spans="1:7" x14ac:dyDescent="0.25">
      <c r="A208" s="424"/>
      <c r="B208" s="204"/>
      <c r="C208" s="205"/>
      <c r="D208" s="205"/>
      <c r="E208" s="425"/>
      <c r="F208" s="426"/>
      <c r="G208" s="205"/>
    </row>
    <row r="209" spans="1:7" x14ac:dyDescent="0.25">
      <c r="A209" s="246"/>
      <c r="B209" s="210"/>
      <c r="C209" s="258" t="s">
        <v>176</v>
      </c>
      <c r="D209" s="142"/>
      <c r="E209" s="241"/>
      <c r="F209" s="242"/>
      <c r="G209" s="255"/>
    </row>
    <row r="210" spans="1:7" x14ac:dyDescent="0.25">
      <c r="A210" s="424"/>
      <c r="B210" s="204"/>
      <c r="C210" s="205"/>
      <c r="D210" s="205"/>
      <c r="E210" s="425"/>
      <c r="F210" s="426"/>
      <c r="G210" s="205"/>
    </row>
    <row r="211" spans="1:7" ht="13.5" x14ac:dyDescent="0.25">
      <c r="A211" s="214" t="s">
        <v>1399</v>
      </c>
      <c r="B211" s="210"/>
      <c r="C211" s="119" t="s">
        <v>816</v>
      </c>
      <c r="D211" s="142" t="s">
        <v>87</v>
      </c>
      <c r="E211" s="241">
        <f>ROUND(1.3*4*2,1)</f>
        <v>10.4</v>
      </c>
      <c r="F211" s="242"/>
      <c r="G211" s="255"/>
    </row>
    <row r="212" spans="1:7" ht="11.85" customHeight="1" x14ac:dyDescent="0.25">
      <c r="A212" s="424"/>
      <c r="B212" s="204"/>
      <c r="C212" s="205"/>
      <c r="D212" s="205"/>
      <c r="E212" s="425"/>
      <c r="F212" s="426"/>
      <c r="G212" s="205"/>
    </row>
    <row r="213" spans="1:7" ht="11.85" customHeight="1" x14ac:dyDescent="0.25">
      <c r="A213" s="246"/>
      <c r="B213" s="273" t="s">
        <v>146</v>
      </c>
      <c r="C213" s="279" t="s">
        <v>798</v>
      </c>
      <c r="D213" s="229"/>
      <c r="E213" s="241"/>
      <c r="F213" s="242"/>
      <c r="G213" s="243"/>
    </row>
    <row r="214" spans="1:7" ht="11.85" customHeight="1" x14ac:dyDescent="0.25">
      <c r="A214" s="424"/>
      <c r="B214" s="204"/>
      <c r="C214" s="205"/>
      <c r="D214" s="205"/>
      <c r="E214" s="425"/>
      <c r="F214" s="426"/>
      <c r="G214" s="205"/>
    </row>
    <row r="215" spans="1:7" ht="24" x14ac:dyDescent="0.25">
      <c r="A215" s="214" t="s">
        <v>1400</v>
      </c>
      <c r="B215" s="229"/>
      <c r="C215" s="119" t="s">
        <v>811</v>
      </c>
      <c r="D215" s="210" t="s">
        <v>8</v>
      </c>
      <c r="E215" s="241">
        <v>2</v>
      </c>
      <c r="F215" s="242"/>
      <c r="G215" s="255"/>
    </row>
    <row r="216" spans="1:7" ht="11.85" customHeight="1" x14ac:dyDescent="0.25">
      <c r="A216" s="424"/>
      <c r="B216" s="204"/>
      <c r="C216" s="205"/>
      <c r="D216" s="205"/>
      <c r="E216" s="425"/>
      <c r="F216" s="426"/>
      <c r="G216" s="205"/>
    </row>
    <row r="217" spans="1:7" ht="24" x14ac:dyDescent="0.25">
      <c r="A217" s="214" t="s">
        <v>1401</v>
      </c>
      <c r="B217" s="229"/>
      <c r="C217" s="119" t="s">
        <v>812</v>
      </c>
      <c r="D217" s="210" t="s">
        <v>8</v>
      </c>
      <c r="E217" s="241">
        <v>2</v>
      </c>
      <c r="F217" s="242"/>
      <c r="G217" s="255"/>
    </row>
    <row r="218" spans="1:7" ht="11.85" customHeight="1" x14ac:dyDescent="0.25">
      <c r="A218" s="424"/>
      <c r="B218" s="204"/>
      <c r="C218" s="205"/>
      <c r="D218" s="205"/>
      <c r="E218" s="425"/>
      <c r="F218" s="426"/>
      <c r="G218" s="205"/>
    </row>
    <row r="219" spans="1:7" ht="11.85" customHeight="1" x14ac:dyDescent="0.25">
      <c r="A219" s="246"/>
      <c r="B219" s="207">
        <v>8.3000000000000007</v>
      </c>
      <c r="C219" s="38" t="s">
        <v>151</v>
      </c>
      <c r="D219" s="210"/>
      <c r="E219" s="219"/>
      <c r="F219" s="274"/>
      <c r="G219" s="233"/>
    </row>
    <row r="220" spans="1:7" ht="11.85" customHeight="1" x14ac:dyDescent="0.25">
      <c r="A220" s="424"/>
      <c r="B220" s="204"/>
      <c r="C220" s="205"/>
      <c r="D220" s="205"/>
      <c r="E220" s="425"/>
      <c r="F220" s="426"/>
      <c r="G220" s="205"/>
    </row>
    <row r="221" spans="1:7" ht="11.85" customHeight="1" x14ac:dyDescent="0.25">
      <c r="A221" s="246"/>
      <c r="B221" s="210"/>
      <c r="C221" s="258" t="s">
        <v>406</v>
      </c>
      <c r="D221" s="210"/>
      <c r="E221" s="219"/>
      <c r="F221" s="274"/>
      <c r="G221" s="233"/>
    </row>
    <row r="222" spans="1:7" ht="11.85" customHeight="1" x14ac:dyDescent="0.25">
      <c r="A222" s="424"/>
      <c r="B222" s="204"/>
      <c r="C222" s="205"/>
      <c r="D222" s="205"/>
      <c r="E222" s="425"/>
      <c r="F222" s="426"/>
      <c r="G222" s="205"/>
    </row>
    <row r="223" spans="1:7" ht="11.85" customHeight="1" x14ac:dyDescent="0.25">
      <c r="A223" s="214" t="s">
        <v>1609</v>
      </c>
      <c r="B223" s="210" t="s">
        <v>26</v>
      </c>
      <c r="C223" s="119" t="s">
        <v>177</v>
      </c>
      <c r="D223" s="210" t="s">
        <v>92</v>
      </c>
      <c r="E223" s="219">
        <f>+ROUND((0.18*E242)+(0.1*E244),1)</f>
        <v>2.1</v>
      </c>
      <c r="F223" s="274"/>
      <c r="G223" s="255"/>
    </row>
    <row r="224" spans="1:7" ht="11.85" customHeight="1" x14ac:dyDescent="0.25">
      <c r="A224" s="424"/>
      <c r="B224" s="204"/>
      <c r="C224" s="205"/>
      <c r="D224" s="205"/>
      <c r="E224" s="425"/>
      <c r="F224" s="426"/>
      <c r="G224" s="205"/>
    </row>
    <row r="225" spans="1:7" ht="11.85" customHeight="1" x14ac:dyDescent="0.25">
      <c r="A225" s="246"/>
      <c r="B225" s="296"/>
      <c r="C225" s="297"/>
      <c r="D225" s="297"/>
      <c r="E225" s="297"/>
      <c r="F225" s="297"/>
      <c r="G225" s="297"/>
    </row>
    <row r="226" spans="1:7" ht="11.85" customHeight="1" x14ac:dyDescent="0.25">
      <c r="A226" s="424"/>
      <c r="B226" s="204"/>
      <c r="C226" s="205"/>
      <c r="D226" s="205"/>
      <c r="E226" s="425"/>
      <c r="F226" s="426"/>
      <c r="G226" s="205"/>
    </row>
    <row r="227" spans="1:7" ht="11.85" customHeight="1" x14ac:dyDescent="0.25">
      <c r="A227" s="246"/>
      <c r="B227" s="296"/>
      <c r="C227" s="297"/>
      <c r="D227" s="297"/>
      <c r="E227" s="297"/>
      <c r="F227" s="297"/>
      <c r="G227" s="297"/>
    </row>
    <row r="228" spans="1:7" ht="11.85" customHeight="1" x14ac:dyDescent="0.25">
      <c r="A228" s="424"/>
      <c r="B228" s="204"/>
      <c r="C228" s="205"/>
      <c r="D228" s="205"/>
      <c r="E228" s="425"/>
      <c r="F228" s="426"/>
      <c r="G228" s="205"/>
    </row>
    <row r="229" spans="1:7" ht="11.85" customHeight="1" x14ac:dyDescent="0.25">
      <c r="A229" s="227"/>
      <c r="B229" s="206"/>
      <c r="C229" s="207"/>
      <c r="D229" s="207"/>
      <c r="E229" s="208"/>
      <c r="F229" s="294"/>
      <c r="G229" s="207"/>
    </row>
    <row r="230" spans="1:7" x14ac:dyDescent="0.25">
      <c r="A230" s="338"/>
      <c r="B230" s="429"/>
      <c r="C230" s="430"/>
      <c r="D230" s="430"/>
      <c r="E230" s="430"/>
      <c r="F230" s="430"/>
      <c r="G230" s="430"/>
    </row>
    <row r="231" spans="1:7" ht="28.5" customHeight="1" x14ac:dyDescent="0.25">
      <c r="A231" s="526" t="s">
        <v>609</v>
      </c>
      <c r="B231" s="526"/>
      <c r="C231" s="526"/>
      <c r="D231" s="526"/>
      <c r="E231" s="526"/>
      <c r="F231" s="526"/>
      <c r="G231" s="158"/>
    </row>
    <row r="232" spans="1:7" ht="28.5" customHeight="1" x14ac:dyDescent="0.25">
      <c r="A232" s="526" t="s">
        <v>610</v>
      </c>
      <c r="B232" s="526"/>
      <c r="C232" s="526"/>
      <c r="D232" s="526"/>
      <c r="E232" s="526"/>
      <c r="F232" s="526"/>
      <c r="G232" s="158"/>
    </row>
    <row r="233" spans="1:7" ht="11.85" customHeight="1" x14ac:dyDescent="0.25">
      <c r="A233" s="338"/>
      <c r="B233" s="429"/>
      <c r="C233" s="430"/>
      <c r="D233" s="430"/>
      <c r="E233" s="430"/>
      <c r="F233" s="430"/>
      <c r="G233" s="430"/>
    </row>
    <row r="234" spans="1:7" ht="11.85" customHeight="1" x14ac:dyDescent="0.25">
      <c r="A234" s="246"/>
      <c r="B234" s="207">
        <v>8.4</v>
      </c>
      <c r="C234" s="38" t="s">
        <v>152</v>
      </c>
      <c r="D234" s="229"/>
      <c r="E234" s="241"/>
      <c r="F234" s="242"/>
      <c r="G234" s="243"/>
    </row>
    <row r="235" spans="1:7" ht="11.85" customHeight="1" x14ac:dyDescent="0.25">
      <c r="A235" s="338"/>
      <c r="B235" s="429"/>
      <c r="C235" s="430"/>
      <c r="D235" s="430"/>
      <c r="E235" s="430"/>
      <c r="F235" s="430"/>
      <c r="G235" s="430"/>
    </row>
    <row r="236" spans="1:7" ht="11.85" customHeight="1" x14ac:dyDescent="0.25">
      <c r="A236" s="246"/>
      <c r="B236" s="210"/>
      <c r="C236" s="258" t="s">
        <v>407</v>
      </c>
      <c r="D236" s="229"/>
      <c r="E236" s="241"/>
      <c r="F236" s="242"/>
      <c r="G236" s="243"/>
    </row>
    <row r="237" spans="1:7" ht="11.85" customHeight="1" x14ac:dyDescent="0.25">
      <c r="A237" s="338"/>
      <c r="B237" s="429"/>
      <c r="C237" s="430"/>
      <c r="D237" s="430"/>
      <c r="E237" s="430"/>
      <c r="F237" s="430"/>
      <c r="G237" s="430"/>
    </row>
    <row r="238" spans="1:7" ht="11.85" customHeight="1" x14ac:dyDescent="0.25">
      <c r="A238" s="246"/>
      <c r="B238" s="221" t="s">
        <v>94</v>
      </c>
      <c r="C238" s="212" t="s">
        <v>525</v>
      </c>
      <c r="D238" s="229"/>
      <c r="E238" s="241"/>
      <c r="F238" s="242"/>
      <c r="G238" s="243"/>
    </row>
    <row r="239" spans="1:7" ht="11.85" customHeight="1" x14ac:dyDescent="0.25">
      <c r="A239" s="338"/>
      <c r="B239" s="429"/>
      <c r="C239" s="430"/>
      <c r="D239" s="430"/>
      <c r="E239" s="430"/>
      <c r="F239" s="430"/>
      <c r="G239" s="430"/>
    </row>
    <row r="240" spans="1:7" ht="11.85" customHeight="1" x14ac:dyDescent="0.25">
      <c r="A240" s="246"/>
      <c r="B240" s="210"/>
      <c r="C240" s="258" t="s">
        <v>569</v>
      </c>
      <c r="D240" s="142"/>
      <c r="E240" s="241"/>
      <c r="F240" s="242"/>
      <c r="G240" s="255"/>
    </row>
    <row r="241" spans="1:7" ht="11.85" customHeight="1" x14ac:dyDescent="0.25">
      <c r="A241" s="338"/>
      <c r="B241" s="429"/>
      <c r="C241" s="430"/>
      <c r="D241" s="430"/>
      <c r="E241" s="430"/>
      <c r="F241" s="430"/>
      <c r="G241" s="430"/>
    </row>
    <row r="242" spans="1:7" ht="11.85" customHeight="1" x14ac:dyDescent="0.25">
      <c r="A242" s="214" t="s">
        <v>1610</v>
      </c>
      <c r="B242" s="229"/>
      <c r="C242" s="119" t="s">
        <v>440</v>
      </c>
      <c r="D242" s="142" t="s">
        <v>88</v>
      </c>
      <c r="E242" s="241">
        <f>ROUND(1.85*2.5*2,1)</f>
        <v>9.3000000000000007</v>
      </c>
      <c r="F242" s="242"/>
      <c r="G242" s="255"/>
    </row>
    <row r="243" spans="1:7" ht="11.85" customHeight="1" x14ac:dyDescent="0.25">
      <c r="A243" s="338"/>
      <c r="B243" s="429"/>
      <c r="C243" s="430"/>
      <c r="D243" s="430"/>
      <c r="E243" s="430"/>
      <c r="F243" s="430"/>
      <c r="G243" s="430"/>
    </row>
    <row r="244" spans="1:7" ht="11.85" customHeight="1" x14ac:dyDescent="0.25">
      <c r="A244" s="214" t="s">
        <v>1611</v>
      </c>
      <c r="B244" s="229"/>
      <c r="C244" s="119" t="s">
        <v>817</v>
      </c>
      <c r="D244" s="142" t="s">
        <v>88</v>
      </c>
      <c r="E244" s="241">
        <f>+ROUND((0.4*4*2)+(0.5*0.5*1.3*2),1)</f>
        <v>3.9</v>
      </c>
      <c r="F244" s="242"/>
      <c r="G244" s="255"/>
    </row>
    <row r="245" spans="1:7" ht="11.85" customHeight="1" x14ac:dyDescent="0.25">
      <c r="A245" s="338"/>
      <c r="B245" s="429"/>
      <c r="C245" s="430"/>
      <c r="D245" s="430"/>
      <c r="E245" s="430"/>
      <c r="F245" s="430"/>
      <c r="G245" s="430"/>
    </row>
    <row r="246" spans="1:7" ht="24" x14ac:dyDescent="0.25">
      <c r="A246" s="214" t="s">
        <v>1612</v>
      </c>
      <c r="B246" s="229"/>
      <c r="C246" s="119" t="s">
        <v>827</v>
      </c>
      <c r="D246" s="142" t="s">
        <v>88</v>
      </c>
      <c r="E246" s="241">
        <f>+ROUND((0.35*0.35*0.05*2)+(0.5*1.3*0.05*2),1)</f>
        <v>0.1</v>
      </c>
      <c r="F246" s="242"/>
      <c r="G246" s="255"/>
    </row>
    <row r="247" spans="1:7" ht="11.85" customHeight="1" x14ac:dyDescent="0.25">
      <c r="A247" s="338"/>
      <c r="B247" s="429"/>
      <c r="C247" s="430"/>
      <c r="D247" s="430"/>
      <c r="E247" s="430"/>
      <c r="F247" s="430"/>
      <c r="G247" s="430"/>
    </row>
    <row r="248" spans="1:7" ht="24" x14ac:dyDescent="0.25">
      <c r="A248" s="214" t="s">
        <v>1613</v>
      </c>
      <c r="B248" s="210" t="s">
        <v>58</v>
      </c>
      <c r="C248" s="119" t="s">
        <v>818</v>
      </c>
      <c r="D248" s="142" t="s">
        <v>87</v>
      </c>
      <c r="E248" s="241">
        <f>ROUND((1.85*2)+(1.3*4*2),1)</f>
        <v>14.1</v>
      </c>
      <c r="F248" s="242"/>
      <c r="G248" s="255"/>
    </row>
    <row r="249" spans="1:7" ht="11.85" customHeight="1" x14ac:dyDescent="0.25">
      <c r="A249" s="338"/>
      <c r="B249" s="429"/>
      <c r="C249" s="430"/>
      <c r="D249" s="430"/>
      <c r="E249" s="430"/>
      <c r="F249" s="430"/>
      <c r="G249" s="430"/>
    </row>
    <row r="250" spans="1:7" ht="11.85" customHeight="1" x14ac:dyDescent="0.25">
      <c r="A250" s="246"/>
      <c r="B250" s="207">
        <v>8.5</v>
      </c>
      <c r="C250" s="38" t="s">
        <v>409</v>
      </c>
      <c r="D250" s="229"/>
      <c r="E250" s="241"/>
      <c r="F250" s="242"/>
      <c r="G250" s="243"/>
    </row>
    <row r="251" spans="1:7" ht="11.85" customHeight="1" x14ac:dyDescent="0.25">
      <c r="A251" s="338"/>
      <c r="B251" s="429"/>
      <c r="C251" s="430"/>
      <c r="D251" s="430"/>
      <c r="E251" s="430"/>
      <c r="F251" s="430"/>
      <c r="G251" s="430"/>
    </row>
    <row r="252" spans="1:7" ht="24" x14ac:dyDescent="0.25">
      <c r="A252" s="246"/>
      <c r="B252" s="229"/>
      <c r="C252" s="212" t="s">
        <v>819</v>
      </c>
      <c r="D252" s="229"/>
      <c r="E252" s="241"/>
      <c r="F252" s="242"/>
      <c r="G252" s="243"/>
    </row>
    <row r="253" spans="1:7" ht="11.85" customHeight="1" x14ac:dyDescent="0.25">
      <c r="A253" s="338"/>
      <c r="B253" s="429"/>
      <c r="C253" s="430"/>
      <c r="D253" s="430"/>
      <c r="E253" s="430"/>
      <c r="F253" s="430"/>
      <c r="G253" s="430"/>
    </row>
    <row r="254" spans="1:7" ht="48" x14ac:dyDescent="0.25">
      <c r="A254" s="214" t="s">
        <v>1614</v>
      </c>
      <c r="B254" s="229"/>
      <c r="C254" s="233" t="s">
        <v>820</v>
      </c>
      <c r="D254" s="210" t="s">
        <v>6</v>
      </c>
      <c r="E254" s="241">
        <f>+(1.3*2)+(0.5*2*2)</f>
        <v>4.5999999999999996</v>
      </c>
      <c r="F254" s="242"/>
      <c r="G254" s="255"/>
    </row>
    <row r="255" spans="1:7" ht="11.85" customHeight="1" x14ac:dyDescent="0.25">
      <c r="A255" s="338"/>
      <c r="B255" s="429"/>
      <c r="C255" s="430"/>
      <c r="D255" s="430"/>
      <c r="E255" s="430"/>
      <c r="F255" s="430"/>
      <c r="G255" s="430"/>
    </row>
    <row r="256" spans="1:7" ht="48" x14ac:dyDescent="0.25">
      <c r="A256" s="214" t="s">
        <v>1615</v>
      </c>
      <c r="B256" s="229"/>
      <c r="C256" s="233" t="s">
        <v>578</v>
      </c>
      <c r="D256" s="210" t="s">
        <v>6</v>
      </c>
      <c r="E256" s="241">
        <f>1.3*2</f>
        <v>2.6</v>
      </c>
      <c r="F256" s="242"/>
      <c r="G256" s="255"/>
    </row>
    <row r="257" spans="1:7" ht="11.85" customHeight="1" x14ac:dyDescent="0.25">
      <c r="A257" s="338"/>
      <c r="B257" s="429"/>
      <c r="C257" s="430"/>
      <c r="D257" s="430"/>
      <c r="E257" s="430"/>
      <c r="F257" s="430"/>
      <c r="G257" s="430"/>
    </row>
    <row r="258" spans="1:7" ht="36" x14ac:dyDescent="0.25">
      <c r="A258" s="214" t="s">
        <v>1616</v>
      </c>
      <c r="B258" s="229"/>
      <c r="C258" s="233" t="s">
        <v>520</v>
      </c>
      <c r="D258" s="210" t="s">
        <v>6</v>
      </c>
      <c r="E258" s="241">
        <f>SUM(E254:E256)</f>
        <v>7.1999999999999993</v>
      </c>
      <c r="F258" s="242"/>
      <c r="G258" s="255"/>
    </row>
    <row r="259" spans="1:7" ht="11.85" customHeight="1" x14ac:dyDescent="0.25">
      <c r="A259" s="338"/>
      <c r="B259" s="429"/>
      <c r="C259" s="430"/>
      <c r="D259" s="430"/>
      <c r="E259" s="430"/>
      <c r="F259" s="430"/>
      <c r="G259" s="430"/>
    </row>
    <row r="260" spans="1:7" ht="36" x14ac:dyDescent="0.25">
      <c r="A260" s="214" t="s">
        <v>1617</v>
      </c>
      <c r="B260" s="229"/>
      <c r="C260" s="119" t="s">
        <v>821</v>
      </c>
      <c r="D260" s="210" t="s">
        <v>6</v>
      </c>
      <c r="E260" s="241">
        <v>2.6</v>
      </c>
      <c r="F260" s="242"/>
      <c r="G260" s="255"/>
    </row>
    <row r="261" spans="1:7" ht="11.85" customHeight="1" x14ac:dyDescent="0.25">
      <c r="A261" s="338"/>
      <c r="B261" s="429"/>
      <c r="C261" s="430"/>
      <c r="D261" s="430"/>
      <c r="E261" s="430"/>
      <c r="F261" s="430"/>
      <c r="G261" s="430"/>
    </row>
    <row r="262" spans="1:7" ht="48" x14ac:dyDescent="0.25">
      <c r="A262" s="214" t="s">
        <v>1618</v>
      </c>
      <c r="B262" s="229">
        <v>8.6999999999999993</v>
      </c>
      <c r="C262" s="119" t="s">
        <v>822</v>
      </c>
      <c r="D262" s="210" t="s">
        <v>28</v>
      </c>
      <c r="E262" s="241">
        <v>1</v>
      </c>
      <c r="F262" s="242"/>
      <c r="G262" s="255"/>
    </row>
    <row r="263" spans="1:7" x14ac:dyDescent="0.25">
      <c r="A263" s="338"/>
      <c r="B263" s="429"/>
      <c r="C263" s="430"/>
      <c r="D263" s="430"/>
      <c r="E263" s="430"/>
      <c r="F263" s="430"/>
      <c r="G263" s="430"/>
    </row>
    <row r="264" spans="1:7" x14ac:dyDescent="0.25">
      <c r="A264" s="246"/>
      <c r="B264" s="229"/>
      <c r="C264" s="119"/>
      <c r="D264" s="210"/>
      <c r="E264" s="241"/>
      <c r="F264" s="242"/>
      <c r="G264" s="255"/>
    </row>
    <row r="265" spans="1:7" x14ac:dyDescent="0.25">
      <c r="A265" s="338"/>
      <c r="B265" s="429"/>
      <c r="C265" s="430"/>
      <c r="D265" s="430"/>
      <c r="E265" s="430"/>
      <c r="F265" s="430"/>
      <c r="G265" s="430"/>
    </row>
    <row r="266" spans="1:7" x14ac:dyDescent="0.25">
      <c r="A266" s="246"/>
      <c r="B266" s="229"/>
      <c r="C266" s="119"/>
      <c r="D266" s="210"/>
      <c r="E266" s="241"/>
      <c r="F266" s="242"/>
      <c r="G266" s="255"/>
    </row>
    <row r="267" spans="1:7" x14ac:dyDescent="0.25">
      <c r="A267" s="338"/>
      <c r="B267" s="429"/>
      <c r="C267" s="430"/>
      <c r="D267" s="430"/>
      <c r="E267" s="430"/>
      <c r="F267" s="430"/>
      <c r="G267" s="430"/>
    </row>
    <row r="268" spans="1:7" x14ac:dyDescent="0.25">
      <c r="A268" s="246"/>
      <c r="B268" s="229"/>
      <c r="C268" s="119"/>
      <c r="D268" s="210"/>
      <c r="E268" s="241"/>
      <c r="F268" s="242"/>
      <c r="G268" s="255"/>
    </row>
    <row r="269" spans="1:7" x14ac:dyDescent="0.25">
      <c r="A269" s="338"/>
      <c r="B269" s="429"/>
      <c r="C269" s="430"/>
      <c r="D269" s="430"/>
      <c r="E269" s="430"/>
      <c r="F269" s="430"/>
      <c r="G269" s="430"/>
    </row>
    <row r="270" spans="1:7" ht="28.5" customHeight="1" x14ac:dyDescent="0.25">
      <c r="A270" s="526" t="s">
        <v>609</v>
      </c>
      <c r="B270" s="526"/>
      <c r="C270" s="526"/>
      <c r="D270" s="526"/>
      <c r="E270" s="526"/>
      <c r="F270" s="526"/>
      <c r="G270" s="158"/>
    </row>
    <row r="271" spans="1:7" ht="28.5" customHeight="1" x14ac:dyDescent="0.25">
      <c r="A271" s="526" t="s">
        <v>610</v>
      </c>
      <c r="B271" s="526"/>
      <c r="C271" s="526"/>
      <c r="D271" s="526"/>
      <c r="E271" s="526"/>
      <c r="F271" s="526"/>
      <c r="G271" s="158"/>
    </row>
    <row r="272" spans="1:7" ht="11.85" customHeight="1" x14ac:dyDescent="0.25">
      <c r="A272" s="338"/>
      <c r="B272" s="429"/>
      <c r="C272" s="430"/>
      <c r="D272" s="430"/>
      <c r="E272" s="430"/>
      <c r="F272" s="430"/>
      <c r="G272" s="430"/>
    </row>
    <row r="273" spans="1:7" ht="24" x14ac:dyDescent="0.25">
      <c r="A273" s="227" t="s">
        <v>1402</v>
      </c>
      <c r="B273" s="207" t="s">
        <v>3</v>
      </c>
      <c r="C273" s="38" t="s">
        <v>4</v>
      </c>
      <c r="D273" s="229"/>
      <c r="E273" s="241"/>
      <c r="F273" s="242"/>
      <c r="G273" s="243"/>
    </row>
    <row r="274" spans="1:7" ht="11.85" customHeight="1" x14ac:dyDescent="0.25">
      <c r="A274" s="338"/>
      <c r="B274" s="429"/>
      <c r="C274" s="430"/>
      <c r="D274" s="430"/>
      <c r="E274" s="430"/>
      <c r="F274" s="430"/>
      <c r="G274" s="430"/>
    </row>
    <row r="275" spans="1:7" ht="24" x14ac:dyDescent="0.25">
      <c r="A275" s="246"/>
      <c r="B275" s="207" t="s">
        <v>13</v>
      </c>
      <c r="C275" s="38" t="s">
        <v>412</v>
      </c>
      <c r="D275" s="229"/>
      <c r="E275" s="241"/>
      <c r="F275" s="242"/>
      <c r="G275" s="243"/>
    </row>
    <row r="276" spans="1:7" ht="11.85" customHeight="1" x14ac:dyDescent="0.25">
      <c r="A276" s="338"/>
      <c r="B276" s="429"/>
      <c r="C276" s="430"/>
      <c r="D276" s="430"/>
      <c r="E276" s="430"/>
      <c r="F276" s="430"/>
      <c r="G276" s="430"/>
    </row>
    <row r="277" spans="1:7" ht="11.85" customHeight="1" x14ac:dyDescent="0.25">
      <c r="A277" s="246"/>
      <c r="B277" s="210"/>
      <c r="C277" s="220" t="s">
        <v>413</v>
      </c>
      <c r="D277" s="229"/>
      <c r="E277" s="241"/>
      <c r="F277" s="242"/>
      <c r="G277" s="243"/>
    </row>
    <row r="278" spans="1:7" ht="11.85" customHeight="1" x14ac:dyDescent="0.25">
      <c r="A278" s="338"/>
      <c r="B278" s="429"/>
      <c r="C278" s="430"/>
      <c r="D278" s="430"/>
      <c r="E278" s="430"/>
      <c r="F278" s="430"/>
      <c r="G278" s="430"/>
    </row>
    <row r="279" spans="1:7" ht="36" x14ac:dyDescent="0.25">
      <c r="A279" s="246"/>
      <c r="B279" s="210"/>
      <c r="C279" s="119" t="s">
        <v>454</v>
      </c>
      <c r="D279" s="229"/>
      <c r="E279" s="241"/>
      <c r="F279" s="242"/>
      <c r="G279" s="243"/>
    </row>
    <row r="280" spans="1:7" ht="11.85" customHeight="1" x14ac:dyDescent="0.25">
      <c r="A280" s="338"/>
      <c r="B280" s="429"/>
      <c r="C280" s="430"/>
      <c r="D280" s="430"/>
      <c r="E280" s="430"/>
      <c r="F280" s="430"/>
      <c r="G280" s="430"/>
    </row>
    <row r="281" spans="1:7" ht="24" x14ac:dyDescent="0.25">
      <c r="A281" s="246"/>
      <c r="B281" s="210"/>
      <c r="C281" s="119" t="s">
        <v>823</v>
      </c>
      <c r="D281" s="229"/>
      <c r="E281" s="241"/>
      <c r="F281" s="242"/>
      <c r="G281" s="243"/>
    </row>
    <row r="282" spans="1:7" ht="11.85" customHeight="1" x14ac:dyDescent="0.25">
      <c r="A282" s="338"/>
      <c r="B282" s="429"/>
      <c r="C282" s="430"/>
      <c r="D282" s="430"/>
      <c r="E282" s="430"/>
      <c r="F282" s="430"/>
      <c r="G282" s="430"/>
    </row>
    <row r="283" spans="1:7" ht="11.85" customHeight="1" x14ac:dyDescent="0.25">
      <c r="A283" s="246"/>
      <c r="B283" s="210"/>
      <c r="C283" s="220" t="s">
        <v>414</v>
      </c>
      <c r="D283" s="229"/>
      <c r="E283" s="241"/>
      <c r="F283" s="242"/>
      <c r="G283" s="243"/>
    </row>
    <row r="284" spans="1:7" ht="11.85" customHeight="1" x14ac:dyDescent="0.25">
      <c r="A284" s="338"/>
      <c r="B284" s="429"/>
      <c r="C284" s="430"/>
      <c r="D284" s="430"/>
      <c r="E284" s="430"/>
      <c r="F284" s="430"/>
      <c r="G284" s="430"/>
    </row>
    <row r="285" spans="1:7" ht="48" x14ac:dyDescent="0.25">
      <c r="A285" s="246"/>
      <c r="B285" s="210"/>
      <c r="C285" s="119" t="s">
        <v>895</v>
      </c>
      <c r="D285" s="229"/>
      <c r="E285" s="241"/>
      <c r="F285" s="242"/>
      <c r="G285" s="243"/>
    </row>
    <row r="286" spans="1:7" x14ac:dyDescent="0.25">
      <c r="A286" s="338"/>
      <c r="B286" s="429"/>
      <c r="C286" s="430"/>
      <c r="D286" s="430"/>
      <c r="E286" s="430"/>
      <c r="F286" s="430"/>
      <c r="G286" s="430"/>
    </row>
    <row r="287" spans="1:7" ht="36" x14ac:dyDescent="0.25">
      <c r="A287" s="214" t="s">
        <v>1403</v>
      </c>
      <c r="B287" s="229"/>
      <c r="C287" s="119" t="s">
        <v>824</v>
      </c>
      <c r="D287" s="210" t="s">
        <v>8</v>
      </c>
      <c r="E287" s="241">
        <v>2</v>
      </c>
      <c r="F287" s="242"/>
      <c r="G287" s="255"/>
    </row>
    <row r="288" spans="1:7" ht="11.85" customHeight="1" x14ac:dyDescent="0.25">
      <c r="A288" s="338"/>
      <c r="B288" s="429"/>
      <c r="C288" s="430"/>
      <c r="D288" s="430"/>
      <c r="E288" s="430"/>
      <c r="F288" s="430"/>
      <c r="G288" s="430"/>
    </row>
    <row r="289" spans="1:7" ht="36" x14ac:dyDescent="0.25">
      <c r="A289" s="214" t="s">
        <v>1404</v>
      </c>
      <c r="B289" s="229"/>
      <c r="C289" s="119" t="s">
        <v>825</v>
      </c>
      <c r="D289" s="210" t="s">
        <v>8</v>
      </c>
      <c r="E289" s="241">
        <v>2</v>
      </c>
      <c r="F289" s="242"/>
      <c r="G289" s="255"/>
    </row>
    <row r="290" spans="1:7" x14ac:dyDescent="0.25">
      <c r="A290" s="338"/>
      <c r="B290" s="429"/>
      <c r="C290" s="430"/>
      <c r="D290" s="430"/>
      <c r="E290" s="430"/>
      <c r="F290" s="430"/>
      <c r="G290" s="430"/>
    </row>
    <row r="291" spans="1:7" x14ac:dyDescent="0.25">
      <c r="A291" s="227" t="s">
        <v>1405</v>
      </c>
      <c r="B291" s="229"/>
      <c r="C291" s="284" t="s">
        <v>805</v>
      </c>
      <c r="D291" s="210"/>
      <c r="E291" s="241"/>
      <c r="F291" s="242"/>
      <c r="G291" s="255"/>
    </row>
    <row r="292" spans="1:7" x14ac:dyDescent="0.25">
      <c r="A292" s="338"/>
      <c r="B292" s="429"/>
      <c r="C292" s="430"/>
      <c r="D292" s="430"/>
      <c r="E292" s="430"/>
      <c r="F292" s="430"/>
      <c r="G292" s="430"/>
    </row>
    <row r="293" spans="1:7" ht="48" x14ac:dyDescent="0.25">
      <c r="A293" s="214" t="s">
        <v>1406</v>
      </c>
      <c r="B293" s="229"/>
      <c r="C293" s="119" t="s">
        <v>828</v>
      </c>
      <c r="D293" s="210" t="s">
        <v>8</v>
      </c>
      <c r="E293" s="241">
        <v>2</v>
      </c>
      <c r="F293" s="242"/>
      <c r="G293" s="255"/>
    </row>
    <row r="294" spans="1:7" x14ac:dyDescent="0.25">
      <c r="A294" s="338"/>
      <c r="B294" s="429"/>
      <c r="C294" s="430"/>
      <c r="D294" s="430"/>
      <c r="E294" s="430"/>
      <c r="F294" s="430"/>
      <c r="G294" s="430"/>
    </row>
    <row r="295" spans="1:7" ht="48" x14ac:dyDescent="0.25">
      <c r="A295" s="214" t="s">
        <v>1407</v>
      </c>
      <c r="B295" s="229"/>
      <c r="C295" s="119" t="s">
        <v>829</v>
      </c>
      <c r="D295" s="210" t="s">
        <v>6</v>
      </c>
      <c r="E295" s="241">
        <v>16</v>
      </c>
      <c r="F295" s="242"/>
      <c r="G295" s="255"/>
    </row>
    <row r="296" spans="1:7" x14ac:dyDescent="0.25">
      <c r="A296" s="338"/>
      <c r="B296" s="429"/>
      <c r="C296" s="430"/>
      <c r="D296" s="430"/>
      <c r="E296" s="430"/>
      <c r="F296" s="430"/>
      <c r="G296" s="430"/>
    </row>
    <row r="297" spans="1:7" ht="36" x14ac:dyDescent="0.25">
      <c r="A297" s="214" t="s">
        <v>1408</v>
      </c>
      <c r="B297" s="229"/>
      <c r="C297" s="119" t="s">
        <v>830</v>
      </c>
      <c r="D297" s="210" t="s">
        <v>8</v>
      </c>
      <c r="E297" s="241">
        <v>6</v>
      </c>
      <c r="F297" s="242"/>
      <c r="G297" s="255"/>
    </row>
    <row r="298" spans="1:7" x14ac:dyDescent="0.25">
      <c r="A298" s="338"/>
      <c r="B298" s="429"/>
      <c r="C298" s="430"/>
      <c r="D298" s="430"/>
      <c r="E298" s="430"/>
      <c r="F298" s="430"/>
      <c r="G298" s="430"/>
    </row>
    <row r="299" spans="1:7" x14ac:dyDescent="0.25">
      <c r="A299" s="246"/>
      <c r="B299" s="229"/>
      <c r="C299" s="119"/>
      <c r="D299" s="210"/>
      <c r="E299" s="241"/>
      <c r="F299" s="242"/>
      <c r="G299" s="255"/>
    </row>
    <row r="300" spans="1:7" x14ac:dyDescent="0.25">
      <c r="A300" s="338"/>
      <c r="B300" s="429"/>
      <c r="C300" s="430"/>
      <c r="D300" s="430"/>
      <c r="E300" s="430"/>
      <c r="F300" s="430"/>
      <c r="G300" s="430"/>
    </row>
    <row r="301" spans="1:7" x14ac:dyDescent="0.25">
      <c r="A301" s="246"/>
      <c r="B301" s="229"/>
      <c r="C301" s="119"/>
      <c r="D301" s="210"/>
      <c r="E301" s="241"/>
      <c r="F301" s="242"/>
      <c r="G301" s="255"/>
    </row>
    <row r="302" spans="1:7" x14ac:dyDescent="0.25">
      <c r="A302" s="338"/>
      <c r="B302" s="429"/>
      <c r="C302" s="430"/>
      <c r="D302" s="430"/>
      <c r="E302" s="430"/>
      <c r="F302" s="430"/>
      <c r="G302" s="430"/>
    </row>
    <row r="303" spans="1:7" x14ac:dyDescent="0.25">
      <c r="A303" s="246"/>
      <c r="B303" s="297"/>
      <c r="C303" s="297"/>
      <c r="D303" s="297"/>
      <c r="E303" s="297"/>
      <c r="F303" s="297"/>
      <c r="G303" s="297"/>
    </row>
    <row r="304" spans="1:7" x14ac:dyDescent="0.25">
      <c r="A304" s="338"/>
      <c r="B304" s="430"/>
      <c r="C304" s="430"/>
      <c r="D304" s="430"/>
      <c r="E304" s="430"/>
      <c r="F304" s="430"/>
      <c r="G304" s="430"/>
    </row>
    <row r="305" spans="1:7" ht="28.5" customHeight="1" x14ac:dyDescent="0.25">
      <c r="A305" s="526" t="s">
        <v>832</v>
      </c>
      <c r="B305" s="526"/>
      <c r="C305" s="526"/>
      <c r="D305" s="526"/>
      <c r="E305" s="526"/>
      <c r="F305" s="526"/>
      <c r="G305" s="158"/>
    </row>
    <row r="306" spans="1:7" ht="11.85" customHeight="1" x14ac:dyDescent="0.25">
      <c r="A306" s="338"/>
      <c r="B306" s="429"/>
      <c r="C306" s="430"/>
      <c r="D306" s="430"/>
      <c r="E306" s="430"/>
      <c r="F306" s="430"/>
      <c r="G306" s="430"/>
    </row>
    <row r="307" spans="1:7" ht="24" x14ac:dyDescent="0.25">
      <c r="A307" s="329" t="s">
        <v>831</v>
      </c>
      <c r="B307" s="283"/>
      <c r="C307" s="284" t="s">
        <v>833</v>
      </c>
      <c r="D307" s="229"/>
      <c r="E307" s="241"/>
      <c r="F307" s="242"/>
      <c r="G307" s="243"/>
    </row>
    <row r="308" spans="1:7" x14ac:dyDescent="0.25">
      <c r="A308" s="338"/>
      <c r="B308" s="429"/>
      <c r="C308" s="430"/>
      <c r="D308" s="430"/>
      <c r="E308" s="430"/>
      <c r="F308" s="430"/>
      <c r="G308" s="430"/>
    </row>
    <row r="309" spans="1:7" ht="24" x14ac:dyDescent="0.25">
      <c r="A309" s="246"/>
      <c r="B309" s="283"/>
      <c r="C309" s="119" t="s">
        <v>840</v>
      </c>
      <c r="D309" s="229"/>
      <c r="E309" s="241"/>
      <c r="F309" s="242"/>
      <c r="G309" s="243"/>
    </row>
    <row r="310" spans="1:7" ht="11.85" customHeight="1" x14ac:dyDescent="0.25">
      <c r="A310" s="338"/>
      <c r="B310" s="429"/>
      <c r="C310" s="430"/>
      <c r="D310" s="430"/>
      <c r="E310" s="430"/>
      <c r="F310" s="430"/>
      <c r="G310" s="430"/>
    </row>
    <row r="311" spans="1:7" ht="24" x14ac:dyDescent="0.25">
      <c r="A311" s="227" t="s">
        <v>1619</v>
      </c>
      <c r="B311" s="207" t="s">
        <v>14</v>
      </c>
      <c r="C311" s="38" t="s">
        <v>241</v>
      </c>
      <c r="D311" s="229"/>
      <c r="E311" s="241"/>
      <c r="F311" s="242"/>
      <c r="G311" s="243"/>
    </row>
    <row r="312" spans="1:7" ht="11.85" customHeight="1" x14ac:dyDescent="0.25">
      <c r="A312" s="338"/>
      <c r="B312" s="429"/>
      <c r="C312" s="430"/>
      <c r="D312" s="430"/>
      <c r="E312" s="430"/>
      <c r="F312" s="430"/>
      <c r="G312" s="430"/>
    </row>
    <row r="313" spans="1:7" ht="24" x14ac:dyDescent="0.25">
      <c r="A313" s="214" t="s">
        <v>1620</v>
      </c>
      <c r="B313" s="210" t="s">
        <v>2191</v>
      </c>
      <c r="C313" s="119" t="s">
        <v>834</v>
      </c>
      <c r="D313" s="210" t="s">
        <v>88</v>
      </c>
      <c r="E313" s="211">
        <f>ROUND(4*2*0.3*2,1)</f>
        <v>4.8</v>
      </c>
      <c r="F313" s="234"/>
      <c r="G313" s="232"/>
    </row>
    <row r="314" spans="1:7" x14ac:dyDescent="0.25">
      <c r="A314" s="338"/>
      <c r="B314" s="429"/>
      <c r="C314" s="430"/>
      <c r="D314" s="430"/>
      <c r="E314" s="430"/>
      <c r="F314" s="430"/>
      <c r="G314" s="430"/>
    </row>
    <row r="315" spans="1:7" ht="24" x14ac:dyDescent="0.25">
      <c r="A315" s="227" t="s">
        <v>1621</v>
      </c>
      <c r="B315" s="207" t="s">
        <v>244</v>
      </c>
      <c r="C315" s="38" t="s">
        <v>9</v>
      </c>
      <c r="D315" s="210"/>
      <c r="E315" s="211"/>
      <c r="F315" s="234"/>
      <c r="G315" s="232"/>
    </row>
    <row r="316" spans="1:7" x14ac:dyDescent="0.25">
      <c r="A316" s="338"/>
      <c r="B316" s="429"/>
      <c r="C316" s="430"/>
      <c r="D316" s="430"/>
      <c r="E316" s="430"/>
      <c r="F316" s="430"/>
      <c r="G316" s="430"/>
    </row>
    <row r="317" spans="1:7" ht="24" x14ac:dyDescent="0.25">
      <c r="A317" s="214" t="s">
        <v>1622</v>
      </c>
      <c r="B317" s="210" t="s">
        <v>11</v>
      </c>
      <c r="C317" s="119" t="s">
        <v>783</v>
      </c>
      <c r="D317" s="210" t="s">
        <v>88</v>
      </c>
      <c r="E317" s="211">
        <f>ROUND(4*6*0.5*2,1)</f>
        <v>24</v>
      </c>
      <c r="F317" s="234"/>
      <c r="G317" s="255"/>
    </row>
    <row r="318" spans="1:7" x14ac:dyDescent="0.25">
      <c r="A318" s="338"/>
      <c r="B318" s="429"/>
      <c r="C318" s="430"/>
      <c r="D318" s="430"/>
      <c r="E318" s="430"/>
      <c r="F318" s="430"/>
      <c r="G318" s="430"/>
    </row>
    <row r="319" spans="1:7" ht="36" x14ac:dyDescent="0.25">
      <c r="A319" s="214" t="s">
        <v>1623</v>
      </c>
      <c r="B319" s="210" t="s">
        <v>563</v>
      </c>
      <c r="C319" s="119" t="s">
        <v>835</v>
      </c>
      <c r="D319" s="210" t="s">
        <v>88</v>
      </c>
      <c r="E319" s="219">
        <f>ROUND(4*6*0.15*2,1)</f>
        <v>7.2</v>
      </c>
      <c r="F319" s="274"/>
      <c r="G319" s="255"/>
    </row>
    <row r="320" spans="1:7" x14ac:dyDescent="0.25">
      <c r="A320" s="338"/>
      <c r="B320" s="429"/>
      <c r="C320" s="430"/>
      <c r="D320" s="430"/>
      <c r="E320" s="430"/>
      <c r="F320" s="430"/>
      <c r="G320" s="430"/>
    </row>
    <row r="321" spans="1:7" ht="24" x14ac:dyDescent="0.25">
      <c r="A321" s="227" t="s">
        <v>1624</v>
      </c>
      <c r="B321" s="207" t="s">
        <v>836</v>
      </c>
      <c r="C321" s="38" t="s">
        <v>283</v>
      </c>
      <c r="D321" s="210"/>
      <c r="E321" s="211"/>
      <c r="F321" s="234"/>
      <c r="G321" s="232"/>
    </row>
    <row r="322" spans="1:7" x14ac:dyDescent="0.25">
      <c r="A322" s="338"/>
      <c r="B322" s="429"/>
      <c r="C322" s="430"/>
      <c r="D322" s="430"/>
      <c r="E322" s="430"/>
      <c r="F322" s="430"/>
      <c r="G322" s="430"/>
    </row>
    <row r="323" spans="1:7" ht="51" customHeight="1" x14ac:dyDescent="0.25">
      <c r="A323" s="246"/>
      <c r="B323" s="207" t="s">
        <v>7</v>
      </c>
      <c r="C323" s="218" t="s">
        <v>837</v>
      </c>
      <c r="D323" s="210"/>
      <c r="E323" s="211"/>
      <c r="F323" s="234"/>
      <c r="G323" s="232"/>
    </row>
    <row r="324" spans="1:7" x14ac:dyDescent="0.25">
      <c r="A324" s="338"/>
      <c r="B324" s="429"/>
      <c r="C324" s="430"/>
      <c r="D324" s="430"/>
      <c r="E324" s="430"/>
      <c r="F324" s="430"/>
      <c r="G324" s="430"/>
    </row>
    <row r="325" spans="1:7" ht="13.5" x14ac:dyDescent="0.25">
      <c r="A325" s="214" t="s">
        <v>1625</v>
      </c>
      <c r="B325" s="210"/>
      <c r="C325" s="119" t="s">
        <v>838</v>
      </c>
      <c r="D325" s="210" t="s">
        <v>88</v>
      </c>
      <c r="E325" s="211">
        <f>ROUND(0.3*2*6*2,1)</f>
        <v>7.2</v>
      </c>
      <c r="F325" s="234"/>
      <c r="G325" s="255"/>
    </row>
    <row r="326" spans="1:7" x14ac:dyDescent="0.25">
      <c r="A326" s="338"/>
      <c r="B326" s="429"/>
      <c r="C326" s="430"/>
      <c r="D326" s="430"/>
      <c r="E326" s="430"/>
      <c r="F326" s="430"/>
      <c r="G326" s="430"/>
    </row>
    <row r="327" spans="1:7" ht="13.5" x14ac:dyDescent="0.25">
      <c r="A327" s="214" t="s">
        <v>1626</v>
      </c>
      <c r="B327" s="210"/>
      <c r="C327" s="119" t="s">
        <v>839</v>
      </c>
      <c r="D327" s="210" t="s">
        <v>88</v>
      </c>
      <c r="E327" s="211">
        <f>ROUND(0.3*1*6*4,1)</f>
        <v>7.2</v>
      </c>
      <c r="F327" s="234"/>
      <c r="G327" s="255"/>
    </row>
    <row r="328" spans="1:7" x14ac:dyDescent="0.25">
      <c r="A328" s="338"/>
      <c r="B328" s="429"/>
      <c r="C328" s="430"/>
      <c r="D328" s="430"/>
      <c r="E328" s="430"/>
      <c r="F328" s="430"/>
      <c r="G328" s="430"/>
    </row>
    <row r="329" spans="1:7" ht="24" x14ac:dyDescent="0.25">
      <c r="A329" s="246"/>
      <c r="B329" s="210" t="s">
        <v>205</v>
      </c>
      <c r="C329" s="233" t="s">
        <v>848</v>
      </c>
      <c r="D329" s="210" t="s">
        <v>87</v>
      </c>
      <c r="E329" s="211">
        <f>+(2*6*2)+(2*6*2)</f>
        <v>48</v>
      </c>
      <c r="F329" s="234"/>
      <c r="G329" s="255"/>
    </row>
    <row r="330" spans="1:7" x14ac:dyDescent="0.25">
      <c r="A330" s="338"/>
      <c r="B330" s="429"/>
      <c r="C330" s="430"/>
      <c r="D330" s="430"/>
      <c r="E330" s="430"/>
      <c r="F330" s="430"/>
      <c r="G330" s="430"/>
    </row>
    <row r="331" spans="1:7" ht="24" x14ac:dyDescent="0.25">
      <c r="A331" s="227" t="s">
        <v>1627</v>
      </c>
      <c r="B331" s="207" t="s">
        <v>148</v>
      </c>
      <c r="C331" s="38" t="s">
        <v>422</v>
      </c>
      <c r="D331" s="210"/>
      <c r="E331" s="211"/>
      <c r="F331" s="234"/>
      <c r="G331" s="255"/>
    </row>
    <row r="332" spans="1:7" x14ac:dyDescent="0.25">
      <c r="A332" s="338"/>
      <c r="B332" s="429"/>
      <c r="C332" s="430"/>
      <c r="D332" s="430"/>
      <c r="E332" s="430"/>
      <c r="F332" s="430"/>
      <c r="G332" s="430"/>
    </row>
    <row r="333" spans="1:7" x14ac:dyDescent="0.25">
      <c r="A333" s="246"/>
      <c r="B333" s="206">
        <v>8.1999999999999993</v>
      </c>
      <c r="C333" s="218" t="s">
        <v>149</v>
      </c>
      <c r="D333" s="142"/>
      <c r="E333" s="187"/>
      <c r="F333" s="270"/>
      <c r="G333" s="207"/>
    </row>
    <row r="334" spans="1:7" x14ac:dyDescent="0.25">
      <c r="A334" s="338"/>
      <c r="B334" s="429"/>
      <c r="C334" s="430"/>
      <c r="D334" s="430"/>
      <c r="E334" s="430"/>
      <c r="F334" s="430"/>
      <c r="G334" s="430"/>
    </row>
    <row r="335" spans="1:7" x14ac:dyDescent="0.25">
      <c r="A335" s="246"/>
      <c r="B335" s="206"/>
      <c r="C335" s="154" t="s">
        <v>172</v>
      </c>
      <c r="D335" s="142"/>
      <c r="E335" s="187"/>
      <c r="F335" s="270"/>
      <c r="G335" s="207"/>
    </row>
    <row r="336" spans="1:7" x14ac:dyDescent="0.25">
      <c r="A336" s="338"/>
      <c r="B336" s="429"/>
      <c r="C336" s="430"/>
      <c r="D336" s="430"/>
      <c r="E336" s="430"/>
      <c r="F336" s="430"/>
      <c r="G336" s="430"/>
    </row>
    <row r="337" spans="1:7" ht="24" x14ac:dyDescent="0.25">
      <c r="A337" s="214" t="s">
        <v>1628</v>
      </c>
      <c r="B337" s="142" t="s">
        <v>5</v>
      </c>
      <c r="C337" s="233" t="s">
        <v>841</v>
      </c>
      <c r="D337" s="142" t="s">
        <v>87</v>
      </c>
      <c r="E337" s="187">
        <f>1.6*4</f>
        <v>6.4</v>
      </c>
      <c r="F337" s="274"/>
      <c r="G337" s="255"/>
    </row>
    <row r="338" spans="1:7" x14ac:dyDescent="0.25">
      <c r="A338" s="338"/>
      <c r="B338" s="429"/>
      <c r="C338" s="430"/>
      <c r="D338" s="430"/>
      <c r="E338" s="430"/>
      <c r="F338" s="430"/>
      <c r="G338" s="430"/>
    </row>
    <row r="339" spans="1:7" x14ac:dyDescent="0.25">
      <c r="A339" s="246"/>
      <c r="B339" s="207">
        <v>8.3000000000000007</v>
      </c>
      <c r="C339" s="38" t="s">
        <v>151</v>
      </c>
      <c r="D339" s="210"/>
      <c r="E339" s="241"/>
      <c r="F339" s="242"/>
      <c r="G339" s="243"/>
    </row>
    <row r="340" spans="1:7" x14ac:dyDescent="0.25">
      <c r="A340" s="338"/>
      <c r="B340" s="429"/>
      <c r="C340" s="430"/>
      <c r="D340" s="430"/>
      <c r="E340" s="430"/>
      <c r="F340" s="430"/>
      <c r="G340" s="430"/>
    </row>
    <row r="341" spans="1:7" x14ac:dyDescent="0.25">
      <c r="A341" s="246"/>
      <c r="B341" s="210"/>
      <c r="C341" s="258" t="s">
        <v>406</v>
      </c>
      <c r="D341" s="210"/>
      <c r="E341" s="241"/>
      <c r="F341" s="242"/>
      <c r="G341" s="243"/>
    </row>
    <row r="342" spans="1:7" ht="11.85" customHeight="1" x14ac:dyDescent="0.25">
      <c r="A342" s="338"/>
      <c r="B342" s="429"/>
      <c r="C342" s="430"/>
      <c r="D342" s="430"/>
      <c r="E342" s="430"/>
      <c r="F342" s="430"/>
      <c r="G342" s="430"/>
    </row>
    <row r="343" spans="1:7" ht="11.85" customHeight="1" x14ac:dyDescent="0.25">
      <c r="A343" s="214" t="s">
        <v>1629</v>
      </c>
      <c r="B343" s="210" t="s">
        <v>26</v>
      </c>
      <c r="C343" s="119" t="s">
        <v>177</v>
      </c>
      <c r="D343" s="210" t="s">
        <v>92</v>
      </c>
      <c r="E343" s="241">
        <f>ROUND(0.05*E353,1)</f>
        <v>0.3</v>
      </c>
      <c r="F343" s="242"/>
      <c r="G343" s="255"/>
    </row>
    <row r="344" spans="1:7" ht="11.85" customHeight="1" x14ac:dyDescent="0.25">
      <c r="A344" s="338"/>
      <c r="B344" s="429"/>
      <c r="C344" s="430"/>
      <c r="D344" s="430"/>
      <c r="E344" s="430"/>
      <c r="F344" s="430"/>
      <c r="G344" s="430"/>
    </row>
    <row r="345" spans="1:7" ht="11.85" customHeight="1" x14ac:dyDescent="0.25">
      <c r="A345" s="246"/>
      <c r="B345" s="210"/>
      <c r="C345" s="233"/>
      <c r="D345" s="142"/>
      <c r="E345" s="241"/>
      <c r="F345" s="242"/>
      <c r="G345" s="255"/>
    </row>
    <row r="346" spans="1:7" ht="28.5" customHeight="1" x14ac:dyDescent="0.25">
      <c r="A346" s="526" t="s">
        <v>609</v>
      </c>
      <c r="B346" s="526"/>
      <c r="C346" s="526"/>
      <c r="D346" s="526"/>
      <c r="E346" s="526"/>
      <c r="F346" s="526"/>
      <c r="G346" s="158"/>
    </row>
    <row r="347" spans="1:7" ht="28.5" customHeight="1" x14ac:dyDescent="0.25">
      <c r="A347" s="526" t="s">
        <v>610</v>
      </c>
      <c r="B347" s="526"/>
      <c r="C347" s="526"/>
      <c r="D347" s="526"/>
      <c r="E347" s="526"/>
      <c r="F347" s="526"/>
      <c r="G347" s="158"/>
    </row>
    <row r="348" spans="1:7" ht="11.85" customHeight="1" x14ac:dyDescent="0.25">
      <c r="A348" s="338"/>
      <c r="B348" s="429"/>
      <c r="C348" s="430"/>
      <c r="D348" s="430"/>
      <c r="E348" s="430"/>
      <c r="F348" s="430"/>
      <c r="G348" s="430"/>
    </row>
    <row r="349" spans="1:7" ht="11.85" customHeight="1" x14ac:dyDescent="0.25">
      <c r="A349" s="246"/>
      <c r="B349" s="207">
        <v>8.4</v>
      </c>
      <c r="C349" s="38" t="s">
        <v>152</v>
      </c>
      <c r="D349" s="210"/>
      <c r="E349" s="219"/>
      <c r="F349" s="274"/>
      <c r="G349" s="233"/>
    </row>
    <row r="350" spans="1:7" ht="11.85" customHeight="1" x14ac:dyDescent="0.25">
      <c r="A350" s="338"/>
      <c r="B350" s="429"/>
      <c r="C350" s="430"/>
      <c r="D350" s="430"/>
      <c r="E350" s="430"/>
      <c r="F350" s="430"/>
      <c r="G350" s="430"/>
    </row>
    <row r="351" spans="1:7" ht="11.85" customHeight="1" x14ac:dyDescent="0.25">
      <c r="A351" s="246"/>
      <c r="B351" s="210"/>
      <c r="C351" s="258" t="s">
        <v>407</v>
      </c>
      <c r="D351" s="210"/>
      <c r="E351" s="219"/>
      <c r="F351" s="274"/>
      <c r="G351" s="281"/>
    </row>
    <row r="352" spans="1:7" ht="11.85" customHeight="1" x14ac:dyDescent="0.25">
      <c r="A352" s="338"/>
      <c r="B352" s="429"/>
      <c r="C352" s="430"/>
      <c r="D352" s="430"/>
      <c r="E352" s="430"/>
      <c r="F352" s="430"/>
      <c r="G352" s="430"/>
    </row>
    <row r="353" spans="1:7" ht="13.5" x14ac:dyDescent="0.25">
      <c r="A353" s="214" t="s">
        <v>1630</v>
      </c>
      <c r="B353" s="210" t="s">
        <v>94</v>
      </c>
      <c r="C353" s="235" t="s">
        <v>843</v>
      </c>
      <c r="D353" s="142" t="s">
        <v>88</v>
      </c>
      <c r="E353" s="219">
        <f>1.6*2*2</f>
        <v>6.4</v>
      </c>
      <c r="F353" s="242"/>
      <c r="G353" s="255"/>
    </row>
    <row r="354" spans="1:7" ht="11.85" customHeight="1" x14ac:dyDescent="0.25">
      <c r="A354" s="338"/>
      <c r="B354" s="429"/>
      <c r="C354" s="430"/>
      <c r="D354" s="430"/>
      <c r="E354" s="430"/>
      <c r="F354" s="430"/>
      <c r="G354" s="430"/>
    </row>
    <row r="355" spans="1:7" ht="24" x14ac:dyDescent="0.25">
      <c r="A355" s="214" t="s">
        <v>1631</v>
      </c>
      <c r="B355" s="210" t="s">
        <v>58</v>
      </c>
      <c r="C355" s="233" t="s">
        <v>842</v>
      </c>
      <c r="D355" s="142" t="s">
        <v>87</v>
      </c>
      <c r="E355" s="241">
        <f>5*2*2</f>
        <v>20</v>
      </c>
      <c r="F355" s="242"/>
      <c r="G355" s="255"/>
    </row>
    <row r="356" spans="1:7" ht="11.85" customHeight="1" x14ac:dyDescent="0.25">
      <c r="A356" s="338"/>
      <c r="B356" s="429"/>
      <c r="C356" s="430"/>
      <c r="D356" s="430"/>
      <c r="E356" s="430"/>
      <c r="F356" s="430"/>
      <c r="G356" s="430"/>
    </row>
    <row r="357" spans="1:7" ht="24" x14ac:dyDescent="0.25">
      <c r="A357" s="246"/>
      <c r="B357" s="207">
        <v>8.5</v>
      </c>
      <c r="C357" s="218" t="s">
        <v>844</v>
      </c>
      <c r="D357" s="142"/>
      <c r="E357" s="241"/>
      <c r="F357" s="242"/>
      <c r="G357" s="255"/>
    </row>
    <row r="358" spans="1:7" ht="11.85" customHeight="1" x14ac:dyDescent="0.25">
      <c r="A358" s="338"/>
      <c r="B358" s="429"/>
      <c r="C358" s="430"/>
      <c r="D358" s="430"/>
      <c r="E358" s="430"/>
      <c r="F358" s="430"/>
      <c r="G358" s="430"/>
    </row>
    <row r="359" spans="1:7" ht="48" x14ac:dyDescent="0.25">
      <c r="A359" s="214" t="s">
        <v>1632</v>
      </c>
      <c r="B359" s="210"/>
      <c r="C359" s="233" t="s">
        <v>578</v>
      </c>
      <c r="D359" s="210" t="s">
        <v>6</v>
      </c>
      <c r="E359" s="241">
        <f>2*2*2</f>
        <v>8</v>
      </c>
      <c r="F359" s="242"/>
      <c r="G359" s="255"/>
    </row>
    <row r="360" spans="1:7" ht="11.85" customHeight="1" x14ac:dyDescent="0.25">
      <c r="A360" s="338"/>
      <c r="B360" s="429"/>
      <c r="C360" s="430"/>
      <c r="D360" s="430"/>
      <c r="E360" s="430"/>
      <c r="F360" s="430"/>
      <c r="G360" s="430"/>
    </row>
    <row r="361" spans="1:7" ht="36" x14ac:dyDescent="0.25">
      <c r="A361" s="214" t="s">
        <v>1633</v>
      </c>
      <c r="B361" s="229"/>
      <c r="C361" s="233" t="s">
        <v>520</v>
      </c>
      <c r="D361" s="210" t="s">
        <v>6</v>
      </c>
      <c r="E361" s="241">
        <f>E359</f>
        <v>8</v>
      </c>
      <c r="F361" s="242"/>
      <c r="G361" s="255"/>
    </row>
    <row r="362" spans="1:7" x14ac:dyDescent="0.25">
      <c r="A362" s="338"/>
      <c r="B362" s="429"/>
      <c r="C362" s="430"/>
      <c r="D362" s="430"/>
      <c r="E362" s="430"/>
      <c r="F362" s="430"/>
      <c r="G362" s="430"/>
    </row>
    <row r="363" spans="1:7" x14ac:dyDescent="0.25">
      <c r="A363" s="246"/>
      <c r="B363" s="229"/>
      <c r="C363" s="233"/>
      <c r="D363" s="210"/>
      <c r="E363" s="241"/>
      <c r="F363" s="242"/>
      <c r="G363" s="255"/>
    </row>
    <row r="364" spans="1:7" x14ac:dyDescent="0.25">
      <c r="A364" s="338"/>
      <c r="B364" s="429"/>
      <c r="C364" s="430"/>
      <c r="D364" s="430"/>
      <c r="E364" s="430"/>
      <c r="F364" s="430"/>
      <c r="G364" s="430"/>
    </row>
    <row r="365" spans="1:7" x14ac:dyDescent="0.25">
      <c r="A365" s="246"/>
      <c r="B365" s="229"/>
      <c r="C365" s="233"/>
      <c r="D365" s="210"/>
      <c r="E365" s="241"/>
      <c r="F365" s="242"/>
      <c r="G365" s="255"/>
    </row>
    <row r="366" spans="1:7" x14ac:dyDescent="0.25">
      <c r="A366" s="338"/>
      <c r="B366" s="429"/>
      <c r="C366" s="430"/>
      <c r="D366" s="430"/>
      <c r="E366" s="430"/>
      <c r="F366" s="430"/>
      <c r="G366" s="430"/>
    </row>
    <row r="367" spans="1:7" x14ac:dyDescent="0.25">
      <c r="A367" s="246"/>
      <c r="B367" s="229"/>
      <c r="C367" s="233"/>
      <c r="D367" s="210"/>
      <c r="E367" s="241"/>
      <c r="F367" s="242"/>
      <c r="G367" s="255"/>
    </row>
    <row r="368" spans="1:7" x14ac:dyDescent="0.25">
      <c r="A368" s="338"/>
      <c r="B368" s="429"/>
      <c r="C368" s="430"/>
      <c r="D368" s="430"/>
      <c r="E368" s="430"/>
      <c r="F368" s="430"/>
      <c r="G368" s="430"/>
    </row>
    <row r="369" spans="1:7" x14ac:dyDescent="0.25">
      <c r="A369" s="246"/>
      <c r="B369" s="229"/>
      <c r="C369" s="233"/>
      <c r="D369" s="210"/>
      <c r="E369" s="241"/>
      <c r="F369" s="242"/>
      <c r="G369" s="255"/>
    </row>
    <row r="370" spans="1:7" x14ac:dyDescent="0.25">
      <c r="A370" s="338"/>
      <c r="B370" s="429"/>
      <c r="C370" s="430"/>
      <c r="D370" s="430"/>
      <c r="E370" s="430"/>
      <c r="F370" s="430"/>
      <c r="G370" s="430"/>
    </row>
    <row r="371" spans="1:7" x14ac:dyDescent="0.25">
      <c r="A371" s="246"/>
      <c r="B371" s="229"/>
      <c r="C371" s="233"/>
      <c r="D371" s="210"/>
      <c r="E371" s="241"/>
      <c r="F371" s="242"/>
      <c r="G371" s="255"/>
    </row>
    <row r="372" spans="1:7" x14ac:dyDescent="0.25">
      <c r="A372" s="338"/>
      <c r="B372" s="429"/>
      <c r="C372" s="430"/>
      <c r="D372" s="430"/>
      <c r="E372" s="430"/>
      <c r="F372" s="430"/>
      <c r="G372" s="430"/>
    </row>
    <row r="373" spans="1:7" x14ac:dyDescent="0.25">
      <c r="A373" s="246"/>
      <c r="B373" s="229"/>
      <c r="C373" s="233"/>
      <c r="D373" s="210"/>
      <c r="E373" s="241"/>
      <c r="F373" s="242"/>
      <c r="G373" s="255"/>
    </row>
    <row r="374" spans="1:7" x14ac:dyDescent="0.25">
      <c r="A374" s="338"/>
      <c r="B374" s="429"/>
      <c r="C374" s="430"/>
      <c r="D374" s="430"/>
      <c r="E374" s="430"/>
      <c r="F374" s="430"/>
      <c r="G374" s="430"/>
    </row>
    <row r="375" spans="1:7" x14ac:dyDescent="0.25">
      <c r="A375" s="246"/>
      <c r="B375" s="229"/>
      <c r="C375" s="233"/>
      <c r="D375" s="210"/>
      <c r="E375" s="241"/>
      <c r="F375" s="242"/>
      <c r="G375" s="255"/>
    </row>
    <row r="376" spans="1:7" x14ac:dyDescent="0.25">
      <c r="A376" s="338"/>
      <c r="B376" s="429"/>
      <c r="C376" s="430"/>
      <c r="D376" s="430"/>
      <c r="E376" s="430"/>
      <c r="F376" s="430"/>
      <c r="G376" s="430"/>
    </row>
    <row r="377" spans="1:7" x14ac:dyDescent="0.25">
      <c r="A377" s="246"/>
      <c r="B377" s="229"/>
      <c r="C377" s="233"/>
      <c r="D377" s="210"/>
      <c r="E377" s="241"/>
      <c r="F377" s="242"/>
      <c r="G377" s="255"/>
    </row>
    <row r="378" spans="1:7" x14ac:dyDescent="0.25">
      <c r="A378" s="338"/>
      <c r="B378" s="429"/>
      <c r="C378" s="430"/>
      <c r="D378" s="430"/>
      <c r="E378" s="430"/>
      <c r="F378" s="430"/>
      <c r="G378" s="430"/>
    </row>
    <row r="379" spans="1:7" x14ac:dyDescent="0.25">
      <c r="A379" s="246"/>
      <c r="B379" s="229"/>
      <c r="C379" s="233"/>
      <c r="D379" s="210"/>
      <c r="E379" s="241"/>
      <c r="F379" s="242"/>
      <c r="G379" s="255"/>
    </row>
    <row r="380" spans="1:7" x14ac:dyDescent="0.25">
      <c r="A380" s="338"/>
      <c r="B380" s="429"/>
      <c r="C380" s="430"/>
      <c r="D380" s="430"/>
      <c r="E380" s="430"/>
      <c r="F380" s="430"/>
      <c r="G380" s="430"/>
    </row>
    <row r="381" spans="1:7" x14ac:dyDescent="0.25">
      <c r="A381" s="246"/>
      <c r="B381" s="229"/>
      <c r="C381" s="233"/>
      <c r="D381" s="210"/>
      <c r="E381" s="241"/>
      <c r="F381" s="242"/>
      <c r="G381" s="255"/>
    </row>
    <row r="382" spans="1:7" x14ac:dyDescent="0.25">
      <c r="A382" s="338"/>
      <c r="B382" s="429"/>
      <c r="C382" s="430"/>
      <c r="D382" s="430"/>
      <c r="E382" s="430"/>
      <c r="F382" s="430"/>
      <c r="G382" s="430"/>
    </row>
    <row r="383" spans="1:7" x14ac:dyDescent="0.25">
      <c r="A383" s="246"/>
      <c r="B383" s="229"/>
      <c r="C383" s="233"/>
      <c r="D383" s="210"/>
      <c r="E383" s="241"/>
      <c r="F383" s="242"/>
      <c r="G383" s="255"/>
    </row>
    <row r="384" spans="1:7" x14ac:dyDescent="0.25">
      <c r="A384" s="338"/>
      <c r="B384" s="429"/>
      <c r="C384" s="430"/>
      <c r="D384" s="430"/>
      <c r="E384" s="430"/>
      <c r="F384" s="430"/>
      <c r="G384" s="430"/>
    </row>
    <row r="385" spans="1:8" x14ac:dyDescent="0.25">
      <c r="A385" s="246"/>
      <c r="B385" s="229"/>
      <c r="C385" s="233"/>
      <c r="D385" s="210"/>
      <c r="E385" s="241"/>
      <c r="F385" s="242"/>
      <c r="G385" s="255"/>
    </row>
    <row r="386" spans="1:8" x14ac:dyDescent="0.25">
      <c r="A386" s="338"/>
      <c r="B386" s="429"/>
      <c r="C386" s="430"/>
      <c r="D386" s="430"/>
      <c r="E386" s="430"/>
      <c r="F386" s="430"/>
      <c r="G386" s="430"/>
    </row>
    <row r="387" spans="1:8" x14ac:dyDescent="0.25">
      <c r="A387" s="246"/>
      <c r="B387" s="229"/>
      <c r="C387" s="233"/>
      <c r="D387" s="210"/>
      <c r="E387" s="241"/>
      <c r="F387" s="242"/>
      <c r="G387" s="255"/>
    </row>
    <row r="388" spans="1:8" x14ac:dyDescent="0.25">
      <c r="A388" s="338"/>
      <c r="B388" s="429"/>
      <c r="C388" s="430"/>
      <c r="D388" s="430"/>
      <c r="E388" s="430"/>
      <c r="F388" s="430"/>
      <c r="G388" s="430"/>
    </row>
    <row r="389" spans="1:8" x14ac:dyDescent="0.25">
      <c r="A389" s="246"/>
      <c r="B389" s="229"/>
      <c r="C389" s="233"/>
      <c r="D389" s="210"/>
      <c r="E389" s="241"/>
      <c r="F389" s="242"/>
      <c r="G389" s="255"/>
    </row>
    <row r="390" spans="1:8" x14ac:dyDescent="0.25">
      <c r="A390" s="338"/>
      <c r="B390" s="429"/>
      <c r="C390" s="430"/>
      <c r="D390" s="430"/>
      <c r="E390" s="430"/>
      <c r="F390" s="430"/>
      <c r="G390" s="430"/>
    </row>
    <row r="391" spans="1:8" x14ac:dyDescent="0.25">
      <c r="A391" s="246"/>
      <c r="B391" s="229"/>
      <c r="C391" s="233"/>
      <c r="D391" s="210"/>
      <c r="E391" s="241"/>
      <c r="F391" s="242"/>
      <c r="G391" s="255"/>
    </row>
    <row r="392" spans="1:8" x14ac:dyDescent="0.25">
      <c r="A392" s="338"/>
      <c r="B392" s="429"/>
      <c r="C392" s="430"/>
      <c r="D392" s="430"/>
      <c r="E392" s="430"/>
      <c r="F392" s="430"/>
      <c r="G392" s="430"/>
    </row>
    <row r="393" spans="1:8" x14ac:dyDescent="0.25">
      <c r="A393" s="246"/>
      <c r="B393" s="229"/>
      <c r="C393" s="233"/>
      <c r="D393" s="210"/>
      <c r="E393" s="241"/>
      <c r="F393" s="242"/>
      <c r="G393" s="255"/>
    </row>
    <row r="394" spans="1:8" ht="28.5" customHeight="1" x14ac:dyDescent="0.25">
      <c r="A394" s="526" t="s">
        <v>847</v>
      </c>
      <c r="B394" s="526"/>
      <c r="C394" s="526"/>
      <c r="D394" s="526"/>
      <c r="E394" s="526"/>
      <c r="F394" s="526"/>
      <c r="G394" s="158"/>
    </row>
    <row r="395" spans="1:8" ht="11.85" customHeight="1" x14ac:dyDescent="0.25">
      <c r="A395" s="338"/>
      <c r="B395" s="429"/>
      <c r="C395" s="430"/>
      <c r="D395" s="430"/>
      <c r="E395" s="430"/>
      <c r="F395" s="430"/>
      <c r="G395" s="430"/>
      <c r="H395" s="161"/>
    </row>
    <row r="396" spans="1:8" ht="24" x14ac:dyDescent="0.25">
      <c r="A396" s="329" t="s">
        <v>853</v>
      </c>
      <c r="B396" s="283"/>
      <c r="C396" s="284" t="s">
        <v>854</v>
      </c>
      <c r="D396" s="229"/>
      <c r="E396" s="241"/>
      <c r="F396" s="242"/>
      <c r="G396" s="243"/>
    </row>
    <row r="397" spans="1:8" x14ac:dyDescent="0.25">
      <c r="A397" s="338"/>
      <c r="B397" s="429"/>
      <c r="C397" s="430"/>
      <c r="D397" s="430"/>
      <c r="E397" s="430"/>
      <c r="F397" s="430"/>
      <c r="G397" s="430"/>
    </row>
    <row r="398" spans="1:8" x14ac:dyDescent="0.25">
      <c r="A398" s="246"/>
      <c r="B398" s="283"/>
      <c r="C398" s="135" t="s">
        <v>855</v>
      </c>
      <c r="D398" s="229"/>
      <c r="E398" s="241"/>
      <c r="F398" s="242"/>
      <c r="G398" s="243"/>
    </row>
    <row r="399" spans="1:8" x14ac:dyDescent="0.25">
      <c r="A399" s="338"/>
      <c r="B399" s="429"/>
      <c r="C399" s="430"/>
      <c r="D399" s="430"/>
      <c r="E399" s="430"/>
      <c r="F399" s="430"/>
      <c r="G399" s="430"/>
    </row>
    <row r="400" spans="1:8" ht="24" x14ac:dyDescent="0.25">
      <c r="A400" s="227" t="s">
        <v>1634</v>
      </c>
      <c r="B400" s="207" t="s">
        <v>14</v>
      </c>
      <c r="C400" s="38" t="s">
        <v>241</v>
      </c>
      <c r="D400" s="229"/>
      <c r="E400" s="241"/>
      <c r="F400" s="242"/>
      <c r="G400" s="243"/>
    </row>
    <row r="401" spans="1:7" s="32" customFormat="1" x14ac:dyDescent="0.25">
      <c r="A401" s="338"/>
      <c r="B401" s="429"/>
      <c r="C401" s="430"/>
      <c r="D401" s="430"/>
      <c r="E401" s="430"/>
      <c r="F401" s="430"/>
      <c r="G401" s="430"/>
    </row>
    <row r="402" spans="1:7" s="32" customFormat="1" ht="24" x14ac:dyDescent="0.25">
      <c r="A402" s="214" t="s">
        <v>1635</v>
      </c>
      <c r="B402" s="210" t="s">
        <v>5</v>
      </c>
      <c r="C402" s="119" t="s">
        <v>499</v>
      </c>
      <c r="D402" s="142" t="s">
        <v>87</v>
      </c>
      <c r="E402" s="211">
        <f>ROUND(3.55*2,1)</f>
        <v>7.1</v>
      </c>
      <c r="F402" s="234"/>
      <c r="G402" s="232"/>
    </row>
    <row r="403" spans="1:7" s="32" customFormat="1" x14ac:dyDescent="0.25">
      <c r="A403" s="338"/>
      <c r="B403" s="251"/>
      <c r="C403" s="254"/>
      <c r="D403" s="251"/>
      <c r="E403" s="236"/>
      <c r="F403" s="237"/>
      <c r="G403" s="238"/>
    </row>
    <row r="404" spans="1:7" s="32" customFormat="1" ht="36" x14ac:dyDescent="0.25">
      <c r="A404" s="214" t="s">
        <v>1636</v>
      </c>
      <c r="B404" s="210" t="s">
        <v>394</v>
      </c>
      <c r="C404" s="233" t="s">
        <v>496</v>
      </c>
      <c r="D404" s="142" t="s">
        <v>87</v>
      </c>
      <c r="E404" s="211">
        <f>E402</f>
        <v>7.1</v>
      </c>
      <c r="F404" s="234"/>
      <c r="G404" s="232"/>
    </row>
    <row r="405" spans="1:7" s="32" customFormat="1" x14ac:dyDescent="0.25">
      <c r="A405" s="338"/>
      <c r="B405" s="251"/>
      <c r="C405" s="254"/>
      <c r="D405" s="251"/>
      <c r="E405" s="236"/>
      <c r="F405" s="237"/>
      <c r="G405" s="238"/>
    </row>
    <row r="406" spans="1:7" s="32" customFormat="1" ht="24" x14ac:dyDescent="0.25">
      <c r="A406" s="227" t="s">
        <v>1637</v>
      </c>
      <c r="B406" s="207" t="s">
        <v>244</v>
      </c>
      <c r="C406" s="38" t="s">
        <v>9</v>
      </c>
      <c r="D406" s="210"/>
      <c r="E406" s="211"/>
      <c r="F406" s="234"/>
      <c r="G406" s="232"/>
    </row>
    <row r="407" spans="1:7" s="32" customFormat="1" x14ac:dyDescent="0.25">
      <c r="A407" s="338"/>
      <c r="B407" s="251"/>
      <c r="C407" s="254"/>
      <c r="D407" s="251"/>
      <c r="E407" s="236"/>
      <c r="F407" s="237"/>
      <c r="G407" s="238"/>
    </row>
    <row r="408" spans="1:7" s="32" customFormat="1" ht="60" x14ac:dyDescent="0.25">
      <c r="A408" s="214" t="s">
        <v>1638</v>
      </c>
      <c r="B408" s="210" t="s">
        <v>18</v>
      </c>
      <c r="C408" s="233" t="s">
        <v>856</v>
      </c>
      <c r="D408" s="210" t="s">
        <v>88</v>
      </c>
      <c r="E408" s="211">
        <f>ROUND(3.55*2*4,1)</f>
        <v>28.4</v>
      </c>
      <c r="F408" s="234"/>
      <c r="G408" s="255"/>
    </row>
    <row r="409" spans="1:7" s="32" customFormat="1" x14ac:dyDescent="0.25">
      <c r="A409" s="338"/>
      <c r="B409" s="251"/>
      <c r="C409" s="254"/>
      <c r="D409" s="251"/>
      <c r="E409" s="236"/>
      <c r="F409" s="237"/>
      <c r="G409" s="238"/>
    </row>
    <row r="410" spans="1:7" s="32" customFormat="1" ht="36" x14ac:dyDescent="0.25">
      <c r="A410" s="214" t="s">
        <v>1639</v>
      </c>
      <c r="B410" s="210" t="s">
        <v>398</v>
      </c>
      <c r="C410" s="233" t="s">
        <v>857</v>
      </c>
      <c r="D410" s="142" t="s">
        <v>28</v>
      </c>
      <c r="E410" s="211">
        <v>1</v>
      </c>
      <c r="F410" s="234"/>
      <c r="G410" s="255"/>
    </row>
    <row r="411" spans="1:7" s="32" customFormat="1" x14ac:dyDescent="0.25">
      <c r="A411" s="338"/>
      <c r="B411" s="251"/>
      <c r="C411" s="254"/>
      <c r="D411" s="251"/>
      <c r="E411" s="236"/>
      <c r="F411" s="237"/>
      <c r="G411" s="238"/>
    </row>
    <row r="412" spans="1:7" s="32" customFormat="1" ht="36" x14ac:dyDescent="0.25">
      <c r="A412" s="214" t="s">
        <v>1640</v>
      </c>
      <c r="B412" s="210" t="s">
        <v>563</v>
      </c>
      <c r="C412" s="119" t="s">
        <v>790</v>
      </c>
      <c r="D412" s="210" t="s">
        <v>88</v>
      </c>
      <c r="E412" s="211">
        <f>ROUND(3.55*2*0.15,1)</f>
        <v>1.1000000000000001</v>
      </c>
      <c r="F412" s="274"/>
      <c r="G412" s="255"/>
    </row>
    <row r="413" spans="1:7" s="32" customFormat="1" x14ac:dyDescent="0.25">
      <c r="A413" s="338"/>
      <c r="B413" s="251"/>
      <c r="C413" s="254"/>
      <c r="D413" s="251"/>
      <c r="E413" s="236"/>
      <c r="F413" s="288"/>
      <c r="G413" s="252"/>
    </row>
    <row r="414" spans="1:7" s="32" customFormat="1" ht="24" x14ac:dyDescent="0.25">
      <c r="A414" s="227" t="s">
        <v>1641</v>
      </c>
      <c r="B414" s="207" t="s">
        <v>148</v>
      </c>
      <c r="C414" s="38" t="s">
        <v>422</v>
      </c>
      <c r="D414" s="210"/>
      <c r="E414" s="211"/>
      <c r="F414" s="234"/>
      <c r="G414" s="255"/>
    </row>
    <row r="415" spans="1:7" s="32" customFormat="1" x14ac:dyDescent="0.25">
      <c r="A415" s="338"/>
      <c r="B415" s="251"/>
      <c r="C415" s="254"/>
      <c r="D415" s="251"/>
      <c r="E415" s="236"/>
      <c r="F415" s="237"/>
      <c r="G415" s="252"/>
    </row>
    <row r="416" spans="1:7" s="32" customFormat="1" x14ac:dyDescent="0.25">
      <c r="A416" s="246"/>
      <c r="B416" s="206">
        <v>8.1999999999999993</v>
      </c>
      <c r="C416" s="218" t="s">
        <v>149</v>
      </c>
      <c r="D416" s="142"/>
      <c r="E416" s="187"/>
      <c r="F416" s="270"/>
      <c r="G416" s="207"/>
    </row>
    <row r="417" spans="1:7" s="32" customFormat="1" x14ac:dyDescent="0.25">
      <c r="A417" s="338"/>
      <c r="B417" s="204"/>
      <c r="C417" s="244"/>
      <c r="D417" s="240"/>
      <c r="E417" s="285"/>
      <c r="F417" s="286"/>
      <c r="G417" s="205"/>
    </row>
    <row r="418" spans="1:7" s="32" customFormat="1" x14ac:dyDescent="0.25">
      <c r="A418" s="246"/>
      <c r="B418" s="206"/>
      <c r="C418" s="154" t="s">
        <v>172</v>
      </c>
      <c r="D418" s="142"/>
      <c r="E418" s="187"/>
      <c r="F418" s="270"/>
      <c r="G418" s="207"/>
    </row>
    <row r="419" spans="1:7" s="32" customFormat="1" x14ac:dyDescent="0.25">
      <c r="A419" s="338"/>
      <c r="B419" s="239"/>
      <c r="C419" s="239"/>
      <c r="D419" s="240"/>
      <c r="E419" s="285"/>
      <c r="F419" s="286"/>
      <c r="G419" s="205"/>
    </row>
    <row r="420" spans="1:7" s="32" customFormat="1" ht="24" x14ac:dyDescent="0.25">
      <c r="A420" s="214" t="s">
        <v>1642</v>
      </c>
      <c r="B420" s="142" t="s">
        <v>5</v>
      </c>
      <c r="C420" s="233" t="s">
        <v>858</v>
      </c>
      <c r="D420" s="142" t="s">
        <v>87</v>
      </c>
      <c r="E420" s="187">
        <f>+ROUND((2*0.3*4)+(1.55*0.3*2)+(2*0.3),1)</f>
        <v>3.9</v>
      </c>
      <c r="F420" s="274"/>
      <c r="G420" s="255"/>
    </row>
    <row r="421" spans="1:7" s="32" customFormat="1" x14ac:dyDescent="0.25">
      <c r="A421" s="338"/>
      <c r="B421" s="240"/>
      <c r="C421" s="287"/>
      <c r="D421" s="240"/>
      <c r="E421" s="285"/>
      <c r="F421" s="288"/>
      <c r="G421" s="252"/>
    </row>
    <row r="422" spans="1:7" s="32" customFormat="1" x14ac:dyDescent="0.25">
      <c r="A422" s="246"/>
      <c r="B422" s="273" t="s">
        <v>7</v>
      </c>
      <c r="C422" s="257" t="s">
        <v>795</v>
      </c>
      <c r="D422" s="142"/>
      <c r="E422" s="187"/>
      <c r="F422" s="274"/>
      <c r="G422" s="255"/>
    </row>
    <row r="423" spans="1:7" s="32" customFormat="1" x14ac:dyDescent="0.25">
      <c r="A423" s="338"/>
      <c r="B423" s="339"/>
      <c r="C423" s="253"/>
      <c r="D423" s="240"/>
      <c r="E423" s="285"/>
      <c r="F423" s="288"/>
      <c r="G423" s="252"/>
    </row>
    <row r="424" spans="1:7" s="32" customFormat="1" x14ac:dyDescent="0.25">
      <c r="A424" s="246"/>
      <c r="B424" s="273"/>
      <c r="C424" s="275" t="s">
        <v>175</v>
      </c>
      <c r="D424" s="142"/>
      <c r="E424" s="187"/>
      <c r="F424" s="274"/>
      <c r="G424" s="255"/>
    </row>
    <row r="425" spans="1:7" s="32" customFormat="1" x14ac:dyDescent="0.25">
      <c r="A425" s="338"/>
      <c r="B425" s="429"/>
      <c r="C425" s="430"/>
      <c r="D425" s="430"/>
      <c r="E425" s="430"/>
      <c r="F425" s="430"/>
      <c r="G425" s="430"/>
    </row>
    <row r="426" spans="1:7" s="32" customFormat="1" ht="13.5" x14ac:dyDescent="0.25">
      <c r="A426" s="214" t="s">
        <v>1643</v>
      </c>
      <c r="B426" s="273"/>
      <c r="C426" s="233" t="s">
        <v>859</v>
      </c>
      <c r="D426" s="142" t="s">
        <v>87</v>
      </c>
      <c r="E426" s="187">
        <f>+ROUND((1.5*3.5*4)+(1.5*1*2)+(1.3*1*2)+(2*3.5*4)+(1*2)+(1.55*1*2),1)</f>
        <v>59.7</v>
      </c>
      <c r="F426" s="274"/>
      <c r="G426" s="255"/>
    </row>
    <row r="427" spans="1:7" s="32" customFormat="1" x14ac:dyDescent="0.25">
      <c r="A427" s="338"/>
      <c r="B427" s="429"/>
      <c r="C427" s="430"/>
      <c r="D427" s="430"/>
      <c r="E427" s="430"/>
      <c r="F427" s="430"/>
      <c r="G427" s="430"/>
    </row>
    <row r="428" spans="1:7" s="32" customFormat="1" ht="13.5" x14ac:dyDescent="0.25">
      <c r="A428" s="214" t="s">
        <v>1644</v>
      </c>
      <c r="B428" s="273"/>
      <c r="C428" s="233" t="s">
        <v>862</v>
      </c>
      <c r="D428" s="142" t="s">
        <v>87</v>
      </c>
      <c r="E428" s="187">
        <f>+ROUND((3.55*0.2*2)+(2*0.2*2),1)</f>
        <v>2.2000000000000002</v>
      </c>
      <c r="F428" s="274"/>
      <c r="G428" s="255"/>
    </row>
    <row r="429" spans="1:7" s="32" customFormat="1" x14ac:dyDescent="0.25">
      <c r="A429" s="338"/>
      <c r="B429" s="429"/>
      <c r="C429" s="430"/>
      <c r="D429" s="430"/>
      <c r="E429" s="430"/>
      <c r="F429" s="430"/>
      <c r="G429" s="430"/>
    </row>
    <row r="430" spans="1:7" s="32" customFormat="1" x14ac:dyDescent="0.25">
      <c r="A430" s="246"/>
      <c r="B430" s="273"/>
      <c r="C430" s="275" t="s">
        <v>176</v>
      </c>
      <c r="D430" s="142"/>
      <c r="E430" s="187"/>
      <c r="F430" s="274"/>
      <c r="G430" s="255"/>
    </row>
    <row r="431" spans="1:7" s="32" customFormat="1" x14ac:dyDescent="0.25">
      <c r="A431" s="338"/>
      <c r="B431" s="429"/>
      <c r="C431" s="430"/>
      <c r="D431" s="430"/>
      <c r="E431" s="430"/>
      <c r="F431" s="430"/>
      <c r="G431" s="430"/>
    </row>
    <row r="432" spans="1:7" s="32" customFormat="1" ht="13.5" x14ac:dyDescent="0.25">
      <c r="A432" s="214" t="s">
        <v>1645</v>
      </c>
      <c r="B432" s="273"/>
      <c r="C432" s="233" t="s">
        <v>860</v>
      </c>
      <c r="D432" s="142" t="s">
        <v>87</v>
      </c>
      <c r="E432" s="187">
        <f>+ROUND(3.55*2,1)</f>
        <v>7.1</v>
      </c>
      <c r="F432" s="274"/>
      <c r="G432" s="255"/>
    </row>
    <row r="433" spans="1:7" s="32" customFormat="1" x14ac:dyDescent="0.25">
      <c r="A433" s="338"/>
      <c r="B433" s="429"/>
      <c r="C433" s="430"/>
      <c r="D433" s="430"/>
      <c r="E433" s="430"/>
      <c r="F433" s="430"/>
      <c r="G433" s="430"/>
    </row>
    <row r="434" spans="1:7" s="32" customFormat="1" ht="28.5" customHeight="1" x14ac:dyDescent="0.25">
      <c r="A434" s="526" t="s">
        <v>609</v>
      </c>
      <c r="B434" s="526"/>
      <c r="C434" s="526"/>
      <c r="D434" s="526"/>
      <c r="E434" s="526"/>
      <c r="F434" s="526"/>
      <c r="G434" s="158"/>
    </row>
    <row r="435" spans="1:7" s="32" customFormat="1" ht="28.5" customHeight="1" x14ac:dyDescent="0.25">
      <c r="A435" s="526" t="s">
        <v>610</v>
      </c>
      <c r="B435" s="526"/>
      <c r="C435" s="526"/>
      <c r="D435" s="526"/>
      <c r="E435" s="526"/>
      <c r="F435" s="526"/>
      <c r="G435" s="158"/>
    </row>
    <row r="436" spans="1:7" s="32" customFormat="1" x14ac:dyDescent="0.25">
      <c r="A436" s="338"/>
      <c r="B436" s="429"/>
      <c r="C436" s="430"/>
      <c r="D436" s="430"/>
      <c r="E436" s="430"/>
      <c r="F436" s="430"/>
      <c r="G436" s="430"/>
    </row>
    <row r="437" spans="1:7" s="32" customFormat="1" x14ac:dyDescent="0.25">
      <c r="A437" s="246"/>
      <c r="B437" s="273" t="s">
        <v>476</v>
      </c>
      <c r="C437" s="279" t="s">
        <v>403</v>
      </c>
      <c r="D437" s="290"/>
      <c r="E437" s="241"/>
      <c r="F437" s="234"/>
      <c r="G437" s="232"/>
    </row>
    <row r="438" spans="1:7" s="32" customFormat="1" x14ac:dyDescent="0.25">
      <c r="A438" s="338"/>
      <c r="B438" s="429"/>
      <c r="C438" s="430"/>
      <c r="D438" s="430"/>
      <c r="E438" s="430"/>
      <c r="F438" s="430"/>
      <c r="G438" s="430"/>
    </row>
    <row r="439" spans="1:7" s="32" customFormat="1" ht="24" x14ac:dyDescent="0.25">
      <c r="A439" s="214" t="s">
        <v>1646</v>
      </c>
      <c r="B439" s="229"/>
      <c r="C439" s="119" t="s">
        <v>861</v>
      </c>
      <c r="D439" s="142" t="s">
        <v>8</v>
      </c>
      <c r="E439" s="241">
        <v>2</v>
      </c>
      <c r="F439" s="234"/>
      <c r="G439" s="232"/>
    </row>
    <row r="440" spans="1:7" s="32" customFormat="1" x14ac:dyDescent="0.25">
      <c r="A440" s="338"/>
      <c r="B440" s="429"/>
      <c r="C440" s="430"/>
      <c r="D440" s="430"/>
      <c r="E440" s="430"/>
      <c r="F440" s="430"/>
      <c r="G440" s="430"/>
    </row>
    <row r="441" spans="1:7" s="32" customFormat="1" ht="25.5" x14ac:dyDescent="0.25">
      <c r="A441" s="246"/>
      <c r="B441" s="215"/>
      <c r="C441" s="258" t="s">
        <v>863</v>
      </c>
      <c r="D441" s="142"/>
      <c r="E441" s="241"/>
      <c r="F441" s="234"/>
      <c r="G441" s="232"/>
    </row>
    <row r="442" spans="1:7" s="32" customFormat="1" x14ac:dyDescent="0.25">
      <c r="A442" s="338"/>
      <c r="B442" s="429"/>
      <c r="C442" s="430"/>
      <c r="D442" s="430"/>
      <c r="E442" s="430"/>
      <c r="F442" s="430"/>
      <c r="G442" s="430"/>
    </row>
    <row r="443" spans="1:7" s="32" customFormat="1" ht="24" x14ac:dyDescent="0.25">
      <c r="A443" s="214" t="s">
        <v>1647</v>
      </c>
      <c r="B443" s="273"/>
      <c r="C443" s="119" t="s">
        <v>864</v>
      </c>
      <c r="D443" s="142" t="s">
        <v>8</v>
      </c>
      <c r="E443" s="241">
        <v>1</v>
      </c>
      <c r="F443" s="234"/>
      <c r="G443" s="232"/>
    </row>
    <row r="444" spans="1:7" s="32" customFormat="1" x14ac:dyDescent="0.25">
      <c r="A444" s="338"/>
      <c r="B444" s="429"/>
      <c r="C444" s="430"/>
      <c r="D444" s="430"/>
      <c r="E444" s="430"/>
      <c r="F444" s="430"/>
      <c r="G444" s="430"/>
    </row>
    <row r="445" spans="1:7" s="32" customFormat="1" ht="24" x14ac:dyDescent="0.25">
      <c r="A445" s="214" t="s">
        <v>1648</v>
      </c>
      <c r="B445" s="273"/>
      <c r="C445" s="119" t="s">
        <v>865</v>
      </c>
      <c r="D445" s="142" t="s">
        <v>8</v>
      </c>
      <c r="E445" s="241">
        <v>1</v>
      </c>
      <c r="F445" s="234"/>
      <c r="G445" s="232"/>
    </row>
    <row r="446" spans="1:7" s="32" customFormat="1" x14ac:dyDescent="0.25">
      <c r="A446" s="338"/>
      <c r="B446" s="429"/>
      <c r="C446" s="430"/>
      <c r="D446" s="430"/>
      <c r="E446" s="430"/>
      <c r="F446" s="430"/>
      <c r="G446" s="430"/>
    </row>
    <row r="447" spans="1:7" s="32" customFormat="1" x14ac:dyDescent="0.25">
      <c r="A447" s="246"/>
      <c r="B447" s="207">
        <v>8.3000000000000007</v>
      </c>
      <c r="C447" s="38" t="s">
        <v>151</v>
      </c>
      <c r="D447" s="210"/>
      <c r="E447" s="241"/>
      <c r="F447" s="242"/>
      <c r="G447" s="243"/>
    </row>
    <row r="448" spans="1:7" s="32" customFormat="1" x14ac:dyDescent="0.25">
      <c r="A448" s="338"/>
      <c r="B448" s="429"/>
      <c r="C448" s="430"/>
      <c r="D448" s="430"/>
      <c r="E448" s="430"/>
      <c r="F448" s="430"/>
      <c r="G448" s="430"/>
    </row>
    <row r="449" spans="1:7" s="32" customFormat="1" x14ac:dyDescent="0.25">
      <c r="A449" s="246"/>
      <c r="B449" s="210"/>
      <c r="C449" s="258" t="s">
        <v>406</v>
      </c>
      <c r="D449" s="210"/>
      <c r="E449" s="241"/>
      <c r="F449" s="242"/>
      <c r="G449" s="243"/>
    </row>
    <row r="450" spans="1:7" s="32" customFormat="1" x14ac:dyDescent="0.25">
      <c r="A450" s="338"/>
      <c r="B450" s="429"/>
      <c r="C450" s="430"/>
      <c r="D450" s="430"/>
      <c r="E450" s="430"/>
      <c r="F450" s="430"/>
      <c r="G450" s="430"/>
    </row>
    <row r="451" spans="1:7" s="32" customFormat="1" x14ac:dyDescent="0.25">
      <c r="A451" s="214" t="s">
        <v>1649</v>
      </c>
      <c r="B451" s="210" t="s">
        <v>26</v>
      </c>
      <c r="C451" s="119" t="s">
        <v>177</v>
      </c>
      <c r="D451" s="210" t="s">
        <v>92</v>
      </c>
      <c r="E451" s="241">
        <f>+ROUND(((3.55*2*0.25)*0.135)+(((1.75*3.5)+(1.15*1))*0.15),1)</f>
        <v>1.3</v>
      </c>
      <c r="F451" s="242"/>
      <c r="G451" s="255"/>
    </row>
    <row r="452" spans="1:7" s="32" customFormat="1" x14ac:dyDescent="0.25">
      <c r="A452" s="338"/>
      <c r="B452" s="429"/>
      <c r="C452" s="430"/>
      <c r="D452" s="430"/>
      <c r="E452" s="430"/>
      <c r="F452" s="430"/>
      <c r="G452" s="430"/>
    </row>
    <row r="453" spans="1:7" s="32" customFormat="1" ht="13.5" x14ac:dyDescent="0.25">
      <c r="A453" s="249" t="s">
        <v>1650</v>
      </c>
      <c r="B453" s="210" t="s">
        <v>477</v>
      </c>
      <c r="C453" s="119" t="s">
        <v>801</v>
      </c>
      <c r="D453" s="142" t="s">
        <v>87</v>
      </c>
      <c r="E453" s="241">
        <f>+ROUND(3.55*2*2,1)</f>
        <v>14.2</v>
      </c>
      <c r="F453" s="242"/>
      <c r="G453" s="255"/>
    </row>
    <row r="454" spans="1:7" s="32" customFormat="1" x14ac:dyDescent="0.25">
      <c r="A454" s="338"/>
      <c r="B454" s="429"/>
      <c r="C454" s="430"/>
      <c r="D454" s="430"/>
      <c r="E454" s="430"/>
      <c r="F454" s="430"/>
      <c r="G454" s="430"/>
    </row>
    <row r="455" spans="1:7" s="32" customFormat="1" x14ac:dyDescent="0.25">
      <c r="A455" s="256"/>
      <c r="B455" s="207">
        <v>8.4</v>
      </c>
      <c r="C455" s="38" t="s">
        <v>152</v>
      </c>
      <c r="D455" s="229"/>
      <c r="E455" s="241"/>
      <c r="F455" s="242"/>
      <c r="G455" s="243"/>
    </row>
    <row r="456" spans="1:7" s="32" customFormat="1" x14ac:dyDescent="0.25">
      <c r="A456" s="338"/>
      <c r="B456" s="429"/>
      <c r="C456" s="430"/>
      <c r="D456" s="430"/>
      <c r="E456" s="430"/>
      <c r="F456" s="430"/>
      <c r="G456" s="430"/>
    </row>
    <row r="457" spans="1:7" s="32" customFormat="1" x14ac:dyDescent="0.25">
      <c r="A457" s="256"/>
      <c r="B457" s="210"/>
      <c r="C457" s="258" t="s">
        <v>407</v>
      </c>
      <c r="D457" s="229"/>
      <c r="E457" s="241"/>
      <c r="F457" s="242"/>
      <c r="G457" s="243"/>
    </row>
    <row r="458" spans="1:7" s="32" customFormat="1" x14ac:dyDescent="0.25">
      <c r="A458" s="338"/>
      <c r="B458" s="429"/>
      <c r="C458" s="430"/>
      <c r="D458" s="430"/>
      <c r="E458" s="430"/>
      <c r="F458" s="430"/>
      <c r="G458" s="430"/>
    </row>
    <row r="459" spans="1:7" s="32" customFormat="1" x14ac:dyDescent="0.25">
      <c r="A459" s="256"/>
      <c r="B459" s="221" t="s">
        <v>94</v>
      </c>
      <c r="C459" s="212" t="s">
        <v>525</v>
      </c>
      <c r="D459" s="229"/>
      <c r="E459" s="241"/>
      <c r="F459" s="242"/>
      <c r="G459" s="243"/>
    </row>
    <row r="460" spans="1:7" s="32" customFormat="1" x14ac:dyDescent="0.25">
      <c r="A460" s="338"/>
      <c r="B460" s="429"/>
      <c r="C460" s="430"/>
      <c r="D460" s="430"/>
      <c r="E460" s="430"/>
      <c r="F460" s="430"/>
      <c r="G460" s="430"/>
    </row>
    <row r="461" spans="1:7" s="32" customFormat="1" ht="24" x14ac:dyDescent="0.25">
      <c r="A461" s="249" t="s">
        <v>1651</v>
      </c>
      <c r="B461" s="210"/>
      <c r="C461" s="119" t="s">
        <v>867</v>
      </c>
      <c r="D461" s="142" t="s">
        <v>88</v>
      </c>
      <c r="E461" s="241">
        <f>+ROUND((3.55*2*0.25)+(1.75*3.5)+(1.15*1)+(5.74*0.2),1)</f>
        <v>10.199999999999999</v>
      </c>
      <c r="F461" s="242"/>
      <c r="G461" s="255"/>
    </row>
    <row r="462" spans="1:7" s="32" customFormat="1" x14ac:dyDescent="0.25">
      <c r="A462" s="338"/>
      <c r="B462" s="429"/>
      <c r="C462" s="430"/>
      <c r="D462" s="430"/>
      <c r="E462" s="430"/>
      <c r="F462" s="430"/>
      <c r="G462" s="430"/>
    </row>
    <row r="463" spans="1:7" s="32" customFormat="1" ht="24" x14ac:dyDescent="0.25">
      <c r="A463" s="249" t="s">
        <v>1652</v>
      </c>
      <c r="B463" s="229"/>
      <c r="C463" s="119" t="s">
        <v>827</v>
      </c>
      <c r="D463" s="142" t="s">
        <v>88</v>
      </c>
      <c r="E463" s="241">
        <f>+ROUND((3.55*2*0.05),1)</f>
        <v>0.4</v>
      </c>
      <c r="F463" s="242"/>
      <c r="G463" s="255"/>
    </row>
    <row r="464" spans="1:7" s="32" customFormat="1" x14ac:dyDescent="0.25">
      <c r="A464" s="338"/>
      <c r="B464" s="429"/>
      <c r="C464" s="430"/>
      <c r="D464" s="430"/>
      <c r="E464" s="430"/>
      <c r="F464" s="430"/>
      <c r="G464" s="430"/>
    </row>
    <row r="465" spans="1:7" s="32" customFormat="1" ht="24" x14ac:dyDescent="0.25">
      <c r="A465" s="249" t="s">
        <v>1653</v>
      </c>
      <c r="B465" s="210" t="s">
        <v>58</v>
      </c>
      <c r="C465" s="119" t="s">
        <v>868</v>
      </c>
      <c r="D465" s="142" t="s">
        <v>87</v>
      </c>
      <c r="E465" s="187">
        <f>+ROUND(1.75+1.15+5.74,1)</f>
        <v>8.6</v>
      </c>
      <c r="F465" s="242"/>
      <c r="G465" s="255"/>
    </row>
    <row r="466" spans="1:7" s="32" customFormat="1" x14ac:dyDescent="0.25">
      <c r="A466" s="338"/>
      <c r="B466" s="429"/>
      <c r="C466" s="430"/>
      <c r="D466" s="430"/>
      <c r="E466" s="430"/>
      <c r="F466" s="430"/>
      <c r="G466" s="430"/>
    </row>
    <row r="467" spans="1:7" s="32" customFormat="1" x14ac:dyDescent="0.25">
      <c r="A467" s="256"/>
      <c r="B467" s="206">
        <v>8.5</v>
      </c>
      <c r="C467" s="38" t="s">
        <v>448</v>
      </c>
      <c r="D467" s="290"/>
      <c r="E467" s="241"/>
      <c r="F467" s="242"/>
      <c r="G467" s="290"/>
    </row>
    <row r="468" spans="1:7" s="32" customFormat="1" x14ac:dyDescent="0.25">
      <c r="A468" s="338"/>
      <c r="B468" s="429"/>
      <c r="C468" s="430"/>
      <c r="D468" s="430"/>
      <c r="E468" s="430"/>
      <c r="F468" s="430"/>
      <c r="G468" s="430"/>
    </row>
    <row r="469" spans="1:7" s="32" customFormat="1" ht="24" x14ac:dyDescent="0.25">
      <c r="A469" s="249" t="s">
        <v>1654</v>
      </c>
      <c r="B469" s="290"/>
      <c r="C469" s="119" t="s">
        <v>449</v>
      </c>
      <c r="D469" s="210" t="s">
        <v>6</v>
      </c>
      <c r="E469" s="186">
        <f>ROUND((1.75*4)+(1.55*4),1)</f>
        <v>13.2</v>
      </c>
      <c r="F469" s="234"/>
      <c r="G469" s="255"/>
    </row>
    <row r="470" spans="1:7" s="32" customFormat="1" x14ac:dyDescent="0.25">
      <c r="A470" s="338"/>
      <c r="B470" s="429"/>
      <c r="C470" s="430"/>
      <c r="D470" s="430"/>
      <c r="E470" s="430"/>
      <c r="F470" s="430"/>
      <c r="G470" s="430"/>
    </row>
    <row r="471" spans="1:7" s="32" customFormat="1" ht="36" x14ac:dyDescent="0.25">
      <c r="A471" s="249" t="s">
        <v>1655</v>
      </c>
      <c r="B471" s="290"/>
      <c r="C471" s="119" t="s">
        <v>479</v>
      </c>
      <c r="D471" s="210" t="s">
        <v>6</v>
      </c>
      <c r="E471" s="186">
        <f>ROUND(1.75*4,1)</f>
        <v>7</v>
      </c>
      <c r="F471" s="234"/>
      <c r="G471" s="255"/>
    </row>
    <row r="472" spans="1:7" s="32" customFormat="1" x14ac:dyDescent="0.25">
      <c r="A472" s="338"/>
      <c r="B472" s="429"/>
      <c r="C472" s="430"/>
      <c r="D472" s="430"/>
      <c r="E472" s="430"/>
      <c r="F472" s="430"/>
      <c r="G472" s="430"/>
    </row>
    <row r="473" spans="1:7" s="32" customFormat="1" x14ac:dyDescent="0.25">
      <c r="A473" s="256"/>
      <c r="B473" s="290"/>
      <c r="C473" s="119"/>
      <c r="D473" s="210"/>
      <c r="E473" s="186"/>
      <c r="F473" s="234"/>
      <c r="G473" s="255"/>
    </row>
    <row r="474" spans="1:7" s="32" customFormat="1" x14ac:dyDescent="0.25">
      <c r="A474" s="338"/>
      <c r="B474" s="429"/>
      <c r="C474" s="430"/>
      <c r="D474" s="430"/>
      <c r="E474" s="430"/>
      <c r="F474" s="430"/>
      <c r="G474" s="430"/>
    </row>
    <row r="475" spans="1:7" s="32" customFormat="1" x14ac:dyDescent="0.25">
      <c r="A475" s="256"/>
      <c r="B475" s="290"/>
      <c r="C475" s="119"/>
      <c r="D475" s="210"/>
      <c r="E475" s="186"/>
      <c r="F475" s="234"/>
      <c r="G475" s="255"/>
    </row>
    <row r="476" spans="1:7" s="32" customFormat="1" x14ac:dyDescent="0.25">
      <c r="A476" s="338"/>
      <c r="B476" s="429"/>
      <c r="C476" s="430"/>
      <c r="D476" s="430"/>
      <c r="E476" s="430"/>
      <c r="F476" s="430"/>
      <c r="G476" s="430"/>
    </row>
    <row r="477" spans="1:7" s="32" customFormat="1" x14ac:dyDescent="0.25">
      <c r="A477" s="256"/>
      <c r="B477" s="290"/>
      <c r="C477" s="119"/>
      <c r="D477" s="210"/>
      <c r="E477" s="186"/>
      <c r="F477" s="234"/>
      <c r="G477" s="255"/>
    </row>
    <row r="478" spans="1:7" s="32" customFormat="1" ht="28.5" customHeight="1" x14ac:dyDescent="0.25">
      <c r="A478" s="526" t="s">
        <v>609</v>
      </c>
      <c r="B478" s="526"/>
      <c r="C478" s="526"/>
      <c r="D478" s="526"/>
      <c r="E478" s="526"/>
      <c r="F478" s="526"/>
      <c r="G478" s="158"/>
    </row>
    <row r="479" spans="1:7" s="32" customFormat="1" ht="28.5" customHeight="1" x14ac:dyDescent="0.25">
      <c r="A479" s="526" t="s">
        <v>610</v>
      </c>
      <c r="B479" s="526"/>
      <c r="C479" s="526"/>
      <c r="D479" s="526"/>
      <c r="E479" s="526"/>
      <c r="F479" s="526"/>
      <c r="G479" s="158"/>
    </row>
    <row r="480" spans="1:7" s="32" customFormat="1" x14ac:dyDescent="0.25">
      <c r="A480" s="338"/>
      <c r="B480" s="429"/>
      <c r="C480" s="430"/>
      <c r="D480" s="430"/>
      <c r="E480" s="430"/>
      <c r="F480" s="430"/>
      <c r="G480" s="430"/>
    </row>
    <row r="481" spans="1:7" s="32" customFormat="1" ht="24" x14ac:dyDescent="0.25">
      <c r="A481" s="293" t="s">
        <v>1656</v>
      </c>
      <c r="B481" s="207" t="s">
        <v>3</v>
      </c>
      <c r="C481" s="38" t="s">
        <v>4</v>
      </c>
      <c r="D481" s="210"/>
      <c r="E481" s="186"/>
      <c r="F481" s="234"/>
      <c r="G481" s="255"/>
    </row>
    <row r="482" spans="1:7" s="32" customFormat="1" x14ac:dyDescent="0.25">
      <c r="A482" s="338"/>
      <c r="B482" s="429"/>
      <c r="C482" s="430"/>
      <c r="D482" s="430"/>
      <c r="E482" s="430"/>
      <c r="F482" s="430"/>
      <c r="G482" s="430"/>
    </row>
    <row r="483" spans="1:7" s="32" customFormat="1" ht="24" x14ac:dyDescent="0.25">
      <c r="A483" s="256"/>
      <c r="B483" s="207" t="s">
        <v>13</v>
      </c>
      <c r="C483" s="38" t="s">
        <v>412</v>
      </c>
      <c r="D483" s="210"/>
      <c r="E483" s="186"/>
      <c r="F483" s="234"/>
      <c r="G483" s="255"/>
    </row>
    <row r="484" spans="1:7" s="32" customFormat="1" x14ac:dyDescent="0.25">
      <c r="A484" s="338"/>
      <c r="B484" s="429"/>
      <c r="C484" s="430"/>
      <c r="D484" s="430"/>
      <c r="E484" s="430"/>
      <c r="F484" s="430"/>
      <c r="G484" s="430"/>
    </row>
    <row r="485" spans="1:7" s="32" customFormat="1" x14ac:dyDescent="0.25">
      <c r="A485" s="256"/>
      <c r="B485" s="210"/>
      <c r="C485" s="220" t="s">
        <v>413</v>
      </c>
      <c r="D485" s="210"/>
      <c r="E485" s="186"/>
      <c r="F485" s="234"/>
      <c r="G485" s="255"/>
    </row>
    <row r="486" spans="1:7" s="32" customFormat="1" x14ac:dyDescent="0.25">
      <c r="A486" s="338"/>
      <c r="B486" s="429"/>
      <c r="C486" s="430"/>
      <c r="D486" s="430"/>
      <c r="E486" s="430"/>
      <c r="F486" s="430"/>
      <c r="G486" s="430"/>
    </row>
    <row r="487" spans="1:7" s="32" customFormat="1" ht="36" x14ac:dyDescent="0.25">
      <c r="A487" s="256"/>
      <c r="B487" s="210"/>
      <c r="C487" s="119" t="s">
        <v>454</v>
      </c>
      <c r="D487" s="210"/>
      <c r="E487" s="186"/>
      <c r="F487" s="234"/>
      <c r="G487" s="255"/>
    </row>
    <row r="488" spans="1:7" s="32" customFormat="1" x14ac:dyDescent="0.25">
      <c r="A488" s="338"/>
      <c r="B488" s="429"/>
      <c r="C488" s="430"/>
      <c r="D488" s="430"/>
      <c r="E488" s="430"/>
      <c r="F488" s="430"/>
      <c r="G488" s="430"/>
    </row>
    <row r="489" spans="1:7" s="32" customFormat="1" ht="24" x14ac:dyDescent="0.25">
      <c r="A489" s="256"/>
      <c r="B489" s="210"/>
      <c r="C489" s="119" t="s">
        <v>823</v>
      </c>
      <c r="D489" s="210"/>
      <c r="E489" s="186"/>
      <c r="F489" s="234"/>
      <c r="G489" s="255"/>
    </row>
    <row r="490" spans="1:7" s="32" customFormat="1" x14ac:dyDescent="0.25">
      <c r="A490" s="338"/>
      <c r="B490" s="429"/>
      <c r="C490" s="430"/>
      <c r="D490" s="430"/>
      <c r="E490" s="430"/>
      <c r="F490" s="430"/>
      <c r="G490" s="430"/>
    </row>
    <row r="491" spans="1:7" s="32" customFormat="1" x14ac:dyDescent="0.25">
      <c r="A491" s="256"/>
      <c r="B491" s="210"/>
      <c r="C491" s="220" t="s">
        <v>414</v>
      </c>
      <c r="D491" s="210"/>
      <c r="E491" s="186"/>
      <c r="F491" s="234"/>
      <c r="G491" s="255"/>
    </row>
    <row r="492" spans="1:7" s="32" customFormat="1" x14ac:dyDescent="0.25">
      <c r="A492" s="338"/>
      <c r="B492" s="429"/>
      <c r="C492" s="430"/>
      <c r="D492" s="430"/>
      <c r="E492" s="430"/>
      <c r="F492" s="430"/>
      <c r="G492" s="430"/>
    </row>
    <row r="493" spans="1:7" s="32" customFormat="1" ht="48" x14ac:dyDescent="0.25">
      <c r="A493" s="256"/>
      <c r="B493" s="210"/>
      <c r="C493" s="119" t="s">
        <v>895</v>
      </c>
      <c r="D493" s="210"/>
      <c r="E493" s="186"/>
      <c r="F493" s="234"/>
      <c r="G493" s="255"/>
    </row>
    <row r="494" spans="1:7" s="32" customFormat="1" x14ac:dyDescent="0.25">
      <c r="A494" s="338"/>
      <c r="B494" s="429"/>
      <c r="C494" s="430"/>
      <c r="D494" s="430"/>
      <c r="E494" s="430"/>
      <c r="F494" s="430"/>
      <c r="G494" s="430"/>
    </row>
    <row r="495" spans="1:7" s="32" customFormat="1" ht="36" x14ac:dyDescent="0.25">
      <c r="A495" s="249" t="s">
        <v>1657</v>
      </c>
      <c r="B495" s="290"/>
      <c r="C495" s="119" t="s">
        <v>869</v>
      </c>
      <c r="D495" s="210" t="s">
        <v>8</v>
      </c>
      <c r="E495" s="186">
        <v>1</v>
      </c>
      <c r="F495" s="234"/>
      <c r="G495" s="255"/>
    </row>
    <row r="496" spans="1:7" s="32" customFormat="1" x14ac:dyDescent="0.25">
      <c r="A496" s="338"/>
      <c r="B496" s="429"/>
      <c r="C496" s="430"/>
      <c r="D496" s="430"/>
      <c r="E496" s="430"/>
      <c r="F496" s="430"/>
      <c r="G496" s="430"/>
    </row>
    <row r="497" spans="1:7" s="32" customFormat="1" ht="36" x14ac:dyDescent="0.25">
      <c r="A497" s="249" t="s">
        <v>1658</v>
      </c>
      <c r="B497" s="290"/>
      <c r="C497" s="119" t="s">
        <v>870</v>
      </c>
      <c r="D497" s="210" t="s">
        <v>8</v>
      </c>
      <c r="E497" s="186">
        <v>1</v>
      </c>
      <c r="F497" s="234"/>
      <c r="G497" s="255"/>
    </row>
    <row r="498" spans="1:7" s="32" customFormat="1" x14ac:dyDescent="0.25">
      <c r="A498" s="338"/>
      <c r="B498" s="429"/>
      <c r="C498" s="430"/>
      <c r="D498" s="430"/>
      <c r="E498" s="430"/>
      <c r="F498" s="430"/>
      <c r="G498" s="430"/>
    </row>
    <row r="499" spans="1:7" s="32" customFormat="1" ht="36" x14ac:dyDescent="0.25">
      <c r="A499" s="249" t="s">
        <v>1659</v>
      </c>
      <c r="B499" s="290"/>
      <c r="C499" s="119" t="s">
        <v>871</v>
      </c>
      <c r="D499" s="210" t="s">
        <v>8</v>
      </c>
      <c r="E499" s="186">
        <v>1</v>
      </c>
      <c r="F499" s="234"/>
      <c r="G499" s="255"/>
    </row>
    <row r="500" spans="1:7" s="32" customFormat="1" x14ac:dyDescent="0.25">
      <c r="A500" s="338"/>
      <c r="B500" s="429"/>
      <c r="C500" s="430"/>
      <c r="D500" s="430"/>
      <c r="E500" s="430"/>
      <c r="F500" s="430"/>
      <c r="G500" s="430"/>
    </row>
    <row r="501" spans="1:7" s="32" customFormat="1" ht="24" x14ac:dyDescent="0.25">
      <c r="A501" s="249" t="s">
        <v>1660</v>
      </c>
      <c r="B501" s="290"/>
      <c r="C501" s="119" t="s">
        <v>872</v>
      </c>
      <c r="D501" s="210" t="s">
        <v>8</v>
      </c>
      <c r="E501" s="186">
        <v>1</v>
      </c>
      <c r="F501" s="234"/>
      <c r="G501" s="255"/>
    </row>
    <row r="502" spans="1:7" s="32" customFormat="1" x14ac:dyDescent="0.25">
      <c r="A502" s="338"/>
      <c r="B502" s="429"/>
      <c r="C502" s="430"/>
      <c r="D502" s="430"/>
      <c r="E502" s="430"/>
      <c r="F502" s="430"/>
      <c r="G502" s="430"/>
    </row>
    <row r="503" spans="1:7" s="32" customFormat="1" x14ac:dyDescent="0.25">
      <c r="A503" s="249" t="s">
        <v>1661</v>
      </c>
      <c r="B503" s="290"/>
      <c r="C503" s="119" t="s">
        <v>873</v>
      </c>
      <c r="D503" s="210" t="s">
        <v>8</v>
      </c>
      <c r="E503" s="186">
        <v>1</v>
      </c>
      <c r="F503" s="242"/>
      <c r="G503" s="255"/>
    </row>
    <row r="504" spans="1:7" s="32" customFormat="1" x14ac:dyDescent="0.25">
      <c r="A504" s="338"/>
      <c r="B504" s="429"/>
      <c r="C504" s="430"/>
      <c r="D504" s="430"/>
      <c r="E504" s="430"/>
      <c r="F504" s="430"/>
      <c r="G504" s="430"/>
    </row>
    <row r="505" spans="1:7" s="32" customFormat="1" ht="36" x14ac:dyDescent="0.25">
      <c r="A505" s="249" t="s">
        <v>1662</v>
      </c>
      <c r="B505" s="290"/>
      <c r="C505" s="119" t="s">
        <v>875</v>
      </c>
      <c r="D505" s="210" t="s">
        <v>8</v>
      </c>
      <c r="E505" s="186">
        <v>1</v>
      </c>
      <c r="F505" s="242"/>
      <c r="G505" s="255"/>
    </row>
    <row r="506" spans="1:7" s="32" customFormat="1" x14ac:dyDescent="0.25">
      <c r="A506" s="338"/>
      <c r="B506" s="429"/>
      <c r="C506" s="430"/>
      <c r="D506" s="430"/>
      <c r="E506" s="430"/>
      <c r="F506" s="430"/>
      <c r="G506" s="430"/>
    </row>
    <row r="507" spans="1:7" s="32" customFormat="1" ht="24" x14ac:dyDescent="0.25">
      <c r="A507" s="249" t="s">
        <v>1663</v>
      </c>
      <c r="B507" s="290"/>
      <c r="C507" s="119" t="s">
        <v>874</v>
      </c>
      <c r="D507" s="210" t="s">
        <v>8</v>
      </c>
      <c r="E507" s="186">
        <v>1</v>
      </c>
      <c r="F507" s="242"/>
      <c r="G507" s="255"/>
    </row>
    <row r="508" spans="1:7" s="32" customFormat="1" x14ac:dyDescent="0.25">
      <c r="A508" s="338"/>
      <c r="B508" s="429"/>
      <c r="C508" s="430"/>
      <c r="D508" s="430"/>
      <c r="E508" s="430"/>
      <c r="F508" s="430"/>
      <c r="G508" s="430"/>
    </row>
    <row r="509" spans="1:7" s="32" customFormat="1" ht="24" x14ac:dyDescent="0.25">
      <c r="A509" s="249" t="s">
        <v>1664</v>
      </c>
      <c r="B509" s="290"/>
      <c r="C509" s="119" t="s">
        <v>876</v>
      </c>
      <c r="D509" s="210" t="s">
        <v>8</v>
      </c>
      <c r="E509" s="186">
        <v>1</v>
      </c>
      <c r="F509" s="242"/>
      <c r="G509" s="255"/>
    </row>
    <row r="510" spans="1:7" s="32" customFormat="1" x14ac:dyDescent="0.25">
      <c r="A510" s="338"/>
      <c r="B510" s="429"/>
      <c r="C510" s="430"/>
      <c r="D510" s="430"/>
      <c r="E510" s="430"/>
      <c r="F510" s="430"/>
      <c r="G510" s="430"/>
    </row>
    <row r="511" spans="1:7" s="32" customFormat="1" ht="25.15" customHeight="1" x14ac:dyDescent="0.25">
      <c r="A511" s="249" t="s">
        <v>1665</v>
      </c>
      <c r="B511" s="290"/>
      <c r="C511" s="119" t="s">
        <v>877</v>
      </c>
      <c r="D511" s="210" t="s">
        <v>8</v>
      </c>
      <c r="E511" s="186">
        <v>1</v>
      </c>
      <c r="F511" s="242"/>
      <c r="G511" s="255"/>
    </row>
    <row r="512" spans="1:7" s="32" customFormat="1" x14ac:dyDescent="0.25">
      <c r="A512" s="338"/>
      <c r="B512" s="429"/>
      <c r="C512" s="430"/>
      <c r="D512" s="430"/>
      <c r="E512" s="430"/>
      <c r="F512" s="430"/>
      <c r="G512" s="430"/>
    </row>
    <row r="513" spans="1:7" s="32" customFormat="1" ht="28.5" customHeight="1" x14ac:dyDescent="0.25">
      <c r="A513" s="526" t="s">
        <v>609</v>
      </c>
      <c r="B513" s="526"/>
      <c r="C513" s="526"/>
      <c r="D513" s="526"/>
      <c r="E513" s="526"/>
      <c r="F513" s="526"/>
      <c r="G513" s="158"/>
    </row>
    <row r="514" spans="1:7" s="32" customFormat="1" ht="28.5" customHeight="1" x14ac:dyDescent="0.25">
      <c r="A514" s="526" t="s">
        <v>610</v>
      </c>
      <c r="B514" s="526"/>
      <c r="C514" s="526"/>
      <c r="D514" s="526"/>
      <c r="E514" s="526"/>
      <c r="F514" s="526"/>
      <c r="G514" s="158"/>
    </row>
    <row r="515" spans="1:7" s="32" customFormat="1" x14ac:dyDescent="0.25">
      <c r="A515" s="338"/>
      <c r="B515" s="429"/>
      <c r="C515" s="430"/>
      <c r="D515" s="430"/>
      <c r="E515" s="430"/>
      <c r="F515" s="430"/>
      <c r="G515" s="430"/>
    </row>
    <row r="516" spans="1:7" s="32" customFormat="1" ht="24" x14ac:dyDescent="0.25">
      <c r="A516" s="293" t="s">
        <v>1666</v>
      </c>
      <c r="B516" s="207" t="s">
        <v>430</v>
      </c>
      <c r="C516" s="38" t="s">
        <v>245</v>
      </c>
      <c r="D516" s="210"/>
      <c r="E516" s="186"/>
      <c r="F516" s="242"/>
      <c r="G516" s="290"/>
    </row>
    <row r="517" spans="1:7" s="32" customFormat="1" x14ac:dyDescent="0.25">
      <c r="A517" s="338"/>
      <c r="B517" s="429"/>
      <c r="C517" s="430"/>
      <c r="D517" s="430"/>
      <c r="E517" s="430"/>
      <c r="F517" s="430"/>
      <c r="G517" s="430"/>
    </row>
    <row r="518" spans="1:7" s="32" customFormat="1" ht="84" x14ac:dyDescent="0.25">
      <c r="A518" s="249" t="s">
        <v>1667</v>
      </c>
      <c r="B518" s="210" t="s">
        <v>12</v>
      </c>
      <c r="C518" s="119" t="s">
        <v>879</v>
      </c>
      <c r="D518" s="210" t="s">
        <v>28</v>
      </c>
      <c r="E518" s="186">
        <v>1</v>
      </c>
      <c r="F518" s="242"/>
      <c r="G518" s="255"/>
    </row>
    <row r="519" spans="1:7" s="32" customFormat="1" x14ac:dyDescent="0.25">
      <c r="A519" s="338"/>
      <c r="B519" s="429"/>
      <c r="C519" s="430"/>
      <c r="D519" s="430"/>
      <c r="E519" s="430"/>
      <c r="F519" s="430"/>
      <c r="G519" s="430"/>
    </row>
    <row r="520" spans="1:7" s="32" customFormat="1" x14ac:dyDescent="0.25">
      <c r="A520" s="293" t="s">
        <v>1668</v>
      </c>
      <c r="B520" s="290"/>
      <c r="C520" s="38" t="s">
        <v>805</v>
      </c>
      <c r="D520" s="210"/>
      <c r="E520" s="186"/>
      <c r="F520" s="242"/>
      <c r="G520" s="290"/>
    </row>
    <row r="521" spans="1:7" s="32" customFormat="1" x14ac:dyDescent="0.25">
      <c r="A521" s="338"/>
      <c r="B521" s="429"/>
      <c r="C521" s="430"/>
      <c r="D521" s="430"/>
      <c r="E521" s="430"/>
      <c r="F521" s="430"/>
      <c r="G521" s="430"/>
    </row>
    <row r="522" spans="1:7" s="32" customFormat="1" ht="51.75" customHeight="1" x14ac:dyDescent="0.25">
      <c r="A522" s="249" t="s">
        <v>1669</v>
      </c>
      <c r="B522" s="290"/>
      <c r="C522" s="233" t="s">
        <v>2132</v>
      </c>
      <c r="D522" s="210" t="s">
        <v>28</v>
      </c>
      <c r="E522" s="186">
        <v>1</v>
      </c>
      <c r="F522" s="242"/>
      <c r="G522" s="255"/>
    </row>
    <row r="523" spans="1:7" s="32" customFormat="1" x14ac:dyDescent="0.25">
      <c r="A523" s="338"/>
      <c r="B523" s="429"/>
      <c r="C523" s="430"/>
      <c r="D523" s="430"/>
      <c r="E523" s="430"/>
      <c r="F523" s="430"/>
      <c r="G523" s="430"/>
    </row>
    <row r="524" spans="1:7" s="32" customFormat="1" ht="60" x14ac:dyDescent="0.25">
      <c r="A524" s="249" t="s">
        <v>1670</v>
      </c>
      <c r="B524" s="290"/>
      <c r="C524" s="233" t="s">
        <v>878</v>
      </c>
      <c r="D524" s="210" t="s">
        <v>8</v>
      </c>
      <c r="E524" s="186">
        <v>1</v>
      </c>
      <c r="F524" s="242"/>
      <c r="G524" s="255"/>
    </row>
    <row r="525" spans="1:7" s="32" customFormat="1" x14ac:dyDescent="0.25">
      <c r="A525" s="338"/>
      <c r="B525" s="429"/>
      <c r="C525" s="430"/>
      <c r="D525" s="430"/>
      <c r="E525" s="430"/>
      <c r="F525" s="430"/>
      <c r="G525" s="430"/>
    </row>
    <row r="526" spans="1:7" s="32" customFormat="1" ht="36" x14ac:dyDescent="0.25">
      <c r="A526" s="249" t="s">
        <v>1671</v>
      </c>
      <c r="B526" s="290"/>
      <c r="C526" s="233" t="s">
        <v>451</v>
      </c>
      <c r="D526" s="210" t="s">
        <v>8</v>
      </c>
      <c r="E526" s="186">
        <v>1</v>
      </c>
      <c r="F526" s="242"/>
      <c r="G526" s="255"/>
    </row>
    <row r="527" spans="1:7" s="32" customFormat="1" x14ac:dyDescent="0.25">
      <c r="A527" s="338"/>
      <c r="B527" s="429"/>
      <c r="C527" s="430"/>
      <c r="D527" s="430"/>
      <c r="E527" s="430"/>
      <c r="F527" s="430"/>
      <c r="G527" s="430"/>
    </row>
    <row r="528" spans="1:7" s="32" customFormat="1" ht="36" x14ac:dyDescent="0.25">
      <c r="A528" s="249" t="s">
        <v>1672</v>
      </c>
      <c r="B528" s="290"/>
      <c r="C528" s="119" t="s">
        <v>880</v>
      </c>
      <c r="D528" s="210" t="s">
        <v>28</v>
      </c>
      <c r="E528" s="186">
        <v>1</v>
      </c>
      <c r="F528" s="242"/>
      <c r="G528" s="255"/>
    </row>
    <row r="529" spans="1:7" s="32" customFormat="1" x14ac:dyDescent="0.25">
      <c r="A529" s="338"/>
      <c r="B529" s="429"/>
      <c r="C529" s="430"/>
      <c r="D529" s="430"/>
      <c r="E529" s="430"/>
      <c r="F529" s="430"/>
      <c r="G529" s="430"/>
    </row>
    <row r="530" spans="1:7" s="32" customFormat="1" ht="36" x14ac:dyDescent="0.25">
      <c r="A530" s="249" t="s">
        <v>1673</v>
      </c>
      <c r="B530" s="290"/>
      <c r="C530" s="119" t="s">
        <v>2133</v>
      </c>
      <c r="D530" s="210" t="s">
        <v>8</v>
      </c>
      <c r="E530" s="186">
        <v>2</v>
      </c>
      <c r="F530" s="242"/>
      <c r="G530" s="255"/>
    </row>
    <row r="531" spans="1:7" s="32" customFormat="1" x14ac:dyDescent="0.25">
      <c r="A531" s="338"/>
      <c r="B531" s="429"/>
      <c r="C531" s="430"/>
      <c r="D531" s="430"/>
      <c r="E531" s="430"/>
      <c r="F531" s="430"/>
      <c r="G531" s="430"/>
    </row>
    <row r="532" spans="1:7" s="32" customFormat="1" x14ac:dyDescent="0.25">
      <c r="A532" s="256"/>
      <c r="B532" s="290"/>
      <c r="C532" s="119"/>
      <c r="D532" s="210"/>
      <c r="E532" s="186"/>
      <c r="F532" s="242"/>
      <c r="G532" s="290"/>
    </row>
    <row r="533" spans="1:7" s="32" customFormat="1" x14ac:dyDescent="0.25">
      <c r="A533" s="338"/>
      <c r="B533" s="429"/>
      <c r="C533" s="430"/>
      <c r="D533" s="430"/>
      <c r="E533" s="430"/>
      <c r="F533" s="430"/>
      <c r="G533" s="430"/>
    </row>
    <row r="534" spans="1:7" s="32" customFormat="1" x14ac:dyDescent="0.25">
      <c r="A534" s="256"/>
      <c r="B534" s="290"/>
      <c r="C534" s="119"/>
      <c r="D534" s="210"/>
      <c r="E534" s="186"/>
      <c r="F534" s="242"/>
      <c r="G534" s="290"/>
    </row>
    <row r="535" spans="1:7" s="32" customFormat="1" x14ac:dyDescent="0.25">
      <c r="A535" s="338"/>
      <c r="B535" s="429"/>
      <c r="C535" s="430"/>
      <c r="D535" s="430"/>
      <c r="E535" s="430"/>
      <c r="F535" s="430"/>
      <c r="G535" s="430"/>
    </row>
    <row r="536" spans="1:7" s="32" customFormat="1" x14ac:dyDescent="0.25">
      <c r="A536" s="256"/>
      <c r="B536" s="290"/>
      <c r="C536" s="119"/>
      <c r="D536" s="210"/>
      <c r="E536" s="186"/>
      <c r="F536" s="242"/>
      <c r="G536" s="290"/>
    </row>
    <row r="537" spans="1:7" s="32" customFormat="1" x14ac:dyDescent="0.25">
      <c r="A537" s="338"/>
      <c r="B537" s="429"/>
      <c r="C537" s="430"/>
      <c r="D537" s="430"/>
      <c r="E537" s="430"/>
      <c r="F537" s="430"/>
      <c r="G537" s="430"/>
    </row>
    <row r="538" spans="1:7" s="32" customFormat="1" x14ac:dyDescent="0.25">
      <c r="A538" s="256"/>
      <c r="B538" s="290"/>
      <c r="C538" s="119"/>
      <c r="D538" s="210"/>
      <c r="E538" s="186"/>
      <c r="F538" s="242"/>
      <c r="G538" s="290"/>
    </row>
    <row r="539" spans="1:7" s="32" customFormat="1" x14ac:dyDescent="0.25">
      <c r="A539" s="338"/>
      <c r="B539" s="429"/>
      <c r="C539" s="430"/>
      <c r="D539" s="430"/>
      <c r="E539" s="430"/>
      <c r="F539" s="430"/>
      <c r="G539" s="430"/>
    </row>
    <row r="540" spans="1:7" s="32" customFormat="1" x14ac:dyDescent="0.25">
      <c r="A540" s="256"/>
      <c r="B540" s="290"/>
      <c r="C540" s="119"/>
      <c r="D540" s="210"/>
      <c r="E540" s="186"/>
      <c r="F540" s="242"/>
      <c r="G540" s="290"/>
    </row>
    <row r="541" spans="1:7" s="32" customFormat="1" x14ac:dyDescent="0.25">
      <c r="A541" s="338"/>
      <c r="B541" s="429"/>
      <c r="C541" s="430"/>
      <c r="D541" s="430"/>
      <c r="E541" s="430"/>
      <c r="F541" s="430"/>
      <c r="G541" s="430"/>
    </row>
    <row r="542" spans="1:7" s="32" customFormat="1" x14ac:dyDescent="0.25">
      <c r="A542" s="246"/>
      <c r="B542" s="297"/>
      <c r="C542" s="297"/>
      <c r="D542" s="297"/>
      <c r="E542" s="297"/>
      <c r="F542" s="297"/>
      <c r="G542" s="297"/>
    </row>
    <row r="543" spans="1:7" s="32" customFormat="1" x14ac:dyDescent="0.25">
      <c r="A543" s="338"/>
      <c r="B543" s="430"/>
      <c r="C543" s="430"/>
      <c r="D543" s="430"/>
      <c r="E543" s="430"/>
      <c r="F543" s="430"/>
      <c r="G543" s="430"/>
    </row>
    <row r="544" spans="1:7" s="32" customFormat="1" x14ac:dyDescent="0.25">
      <c r="A544" s="246"/>
      <c r="B544" s="297"/>
      <c r="C544" s="297"/>
      <c r="D544" s="297"/>
      <c r="E544" s="297"/>
      <c r="F544" s="297"/>
      <c r="G544" s="297"/>
    </row>
    <row r="545" spans="1:7" s="32" customFormat="1" x14ac:dyDescent="0.25">
      <c r="A545" s="338"/>
      <c r="B545" s="430"/>
      <c r="C545" s="430"/>
      <c r="D545" s="430"/>
      <c r="E545" s="430"/>
      <c r="F545" s="430"/>
      <c r="G545" s="430"/>
    </row>
    <row r="546" spans="1:7" s="32" customFormat="1" x14ac:dyDescent="0.25">
      <c r="A546" s="256"/>
      <c r="B546" s="290"/>
      <c r="C546" s="119"/>
      <c r="D546" s="210"/>
      <c r="E546" s="186"/>
      <c r="F546" s="242"/>
      <c r="G546" s="290"/>
    </row>
    <row r="547" spans="1:7" s="32" customFormat="1" x14ac:dyDescent="0.25">
      <c r="A547" s="338"/>
      <c r="B547" s="429"/>
      <c r="C547" s="430"/>
      <c r="D547" s="430"/>
      <c r="E547" s="430"/>
      <c r="F547" s="430"/>
      <c r="G547" s="430"/>
    </row>
    <row r="548" spans="1:7" s="32" customFormat="1" ht="28.5" customHeight="1" x14ac:dyDescent="0.25">
      <c r="A548" s="526" t="s">
        <v>866</v>
      </c>
      <c r="B548" s="526"/>
      <c r="C548" s="526"/>
      <c r="D548" s="526"/>
      <c r="E548" s="526"/>
      <c r="F548" s="526"/>
      <c r="G548" s="158"/>
    </row>
    <row r="549" spans="1:7" s="32" customFormat="1" x14ac:dyDescent="0.25">
      <c r="A549" s="315"/>
      <c r="B549" s="315"/>
      <c r="C549" s="326"/>
      <c r="D549" s="315"/>
      <c r="E549" s="321"/>
      <c r="F549" s="322"/>
      <c r="G549" s="315"/>
    </row>
    <row r="550" spans="1:7" s="32" customFormat="1" x14ac:dyDescent="0.25">
      <c r="A550" s="315"/>
      <c r="B550" s="315"/>
      <c r="C550" s="326"/>
      <c r="D550" s="315"/>
      <c r="E550" s="321"/>
      <c r="F550" s="322"/>
      <c r="G550" s="315"/>
    </row>
    <row r="551" spans="1:7" s="32" customFormat="1" x14ac:dyDescent="0.25">
      <c r="A551" s="315"/>
      <c r="B551" s="315"/>
      <c r="C551" s="326"/>
      <c r="D551" s="315"/>
      <c r="E551" s="321"/>
      <c r="F551" s="322"/>
      <c r="G551" s="315"/>
    </row>
    <row r="552" spans="1:7" s="32" customFormat="1" x14ac:dyDescent="0.25">
      <c r="A552" s="315"/>
      <c r="B552" s="315"/>
      <c r="C552" s="326"/>
      <c r="D552" s="315"/>
      <c r="E552" s="321"/>
      <c r="F552" s="322"/>
      <c r="G552" s="315"/>
    </row>
    <row r="553" spans="1:7" s="32" customFormat="1" x14ac:dyDescent="0.25">
      <c r="A553" s="315"/>
      <c r="B553" s="315"/>
      <c r="C553" s="326"/>
      <c r="D553" s="315"/>
      <c r="E553" s="321"/>
      <c r="F553" s="322"/>
      <c r="G553" s="315"/>
    </row>
    <row r="554" spans="1:7" s="32" customFormat="1" x14ac:dyDescent="0.25">
      <c r="A554" s="315"/>
      <c r="B554" s="315"/>
      <c r="C554" s="326"/>
      <c r="D554" s="315"/>
      <c r="E554" s="321"/>
      <c r="F554" s="322"/>
      <c r="G554" s="315"/>
    </row>
    <row r="555" spans="1:7" s="32" customFormat="1" x14ac:dyDescent="0.25">
      <c r="A555" s="315"/>
      <c r="B555" s="315"/>
      <c r="C555" s="326"/>
      <c r="D555" s="315"/>
      <c r="E555" s="321"/>
      <c r="F555" s="322"/>
      <c r="G555" s="315"/>
    </row>
    <row r="556" spans="1:7" s="32" customFormat="1" x14ac:dyDescent="0.25">
      <c r="A556" s="315"/>
      <c r="B556" s="315"/>
      <c r="C556" s="326"/>
      <c r="D556" s="315"/>
      <c r="E556" s="321"/>
      <c r="F556" s="322"/>
      <c r="G556" s="315"/>
    </row>
    <row r="557" spans="1:7" s="32" customFormat="1" x14ac:dyDescent="0.25">
      <c r="A557" s="315"/>
      <c r="B557" s="315"/>
      <c r="C557" s="326"/>
      <c r="D557" s="315"/>
      <c r="E557" s="321"/>
      <c r="F557" s="322"/>
      <c r="G557" s="315"/>
    </row>
    <row r="558" spans="1:7" s="32" customFormat="1" x14ac:dyDescent="0.25">
      <c r="A558" s="315"/>
      <c r="B558" s="315"/>
      <c r="C558" s="326"/>
      <c r="D558" s="315"/>
      <c r="E558" s="321"/>
      <c r="F558" s="322"/>
      <c r="G558" s="315"/>
    </row>
    <row r="559" spans="1:7" s="32" customFormat="1" x14ac:dyDescent="0.25">
      <c r="A559" s="315"/>
      <c r="B559" s="315"/>
      <c r="C559" s="326"/>
      <c r="D559" s="315"/>
      <c r="E559" s="321"/>
      <c r="F559" s="322"/>
      <c r="G559" s="315"/>
    </row>
    <row r="560" spans="1:7" s="32" customFormat="1" x14ac:dyDescent="0.25">
      <c r="A560" s="315"/>
      <c r="B560" s="315"/>
      <c r="C560" s="326"/>
      <c r="D560" s="315"/>
      <c r="E560" s="321"/>
      <c r="F560" s="322"/>
      <c r="G560" s="315"/>
    </row>
    <row r="561" spans="1:7" s="32" customFormat="1" x14ac:dyDescent="0.25">
      <c r="A561" s="315"/>
      <c r="B561" s="315"/>
      <c r="C561" s="326"/>
      <c r="D561" s="315"/>
      <c r="E561" s="321"/>
      <c r="F561" s="322"/>
      <c r="G561" s="315"/>
    </row>
    <row r="562" spans="1:7" s="32" customFormat="1" x14ac:dyDescent="0.25">
      <c r="A562" s="315"/>
      <c r="B562" s="315"/>
      <c r="C562" s="326"/>
      <c r="D562" s="315"/>
      <c r="E562" s="321"/>
      <c r="F562" s="322"/>
      <c r="G562" s="315"/>
    </row>
    <row r="563" spans="1:7" s="32" customFormat="1" x14ac:dyDescent="0.25">
      <c r="A563" s="315"/>
      <c r="B563" s="315"/>
      <c r="C563" s="326"/>
      <c r="D563" s="315"/>
      <c r="E563" s="321"/>
      <c r="F563" s="322"/>
      <c r="G563" s="315"/>
    </row>
    <row r="564" spans="1:7" s="32" customFormat="1" x14ac:dyDescent="0.25">
      <c r="A564" s="315"/>
      <c r="B564" s="315"/>
      <c r="C564" s="326"/>
      <c r="D564" s="315"/>
      <c r="E564" s="321"/>
      <c r="F564" s="322"/>
      <c r="G564" s="315"/>
    </row>
    <row r="565" spans="1:7" s="32" customFormat="1" x14ac:dyDescent="0.25">
      <c r="A565" s="315"/>
      <c r="B565" s="315"/>
      <c r="C565" s="326"/>
      <c r="D565" s="315"/>
      <c r="E565" s="321"/>
      <c r="F565" s="322"/>
      <c r="G565" s="315"/>
    </row>
    <row r="566" spans="1:7" s="32" customFormat="1" x14ac:dyDescent="0.25">
      <c r="A566" s="315"/>
      <c r="B566" s="315"/>
      <c r="C566" s="326"/>
      <c r="D566" s="315"/>
      <c r="E566" s="321"/>
      <c r="F566" s="322"/>
      <c r="G566" s="315"/>
    </row>
    <row r="567" spans="1:7" s="32" customFormat="1" x14ac:dyDescent="0.25">
      <c r="A567" s="315"/>
      <c r="B567" s="315"/>
      <c r="C567" s="326"/>
      <c r="D567" s="315"/>
      <c r="E567" s="321"/>
      <c r="F567" s="322"/>
      <c r="G567" s="315"/>
    </row>
    <row r="568" spans="1:7" s="32" customFormat="1" x14ac:dyDescent="0.25">
      <c r="A568" s="315"/>
      <c r="B568" s="315"/>
      <c r="C568" s="326"/>
      <c r="D568" s="315"/>
      <c r="E568" s="321"/>
      <c r="F568" s="322"/>
      <c r="G568" s="315"/>
    </row>
    <row r="569" spans="1:7" s="32" customFormat="1" x14ac:dyDescent="0.25">
      <c r="A569" s="315"/>
      <c r="B569" s="315"/>
      <c r="C569" s="326"/>
      <c r="D569" s="315"/>
      <c r="E569" s="321"/>
      <c r="F569" s="322"/>
      <c r="G569" s="315"/>
    </row>
    <row r="570" spans="1:7" s="32" customFormat="1" x14ac:dyDescent="0.25">
      <c r="A570" s="315"/>
      <c r="B570" s="315"/>
      <c r="C570" s="326"/>
      <c r="D570" s="315"/>
      <c r="E570" s="321"/>
      <c r="F570" s="322"/>
      <c r="G570" s="315"/>
    </row>
    <row r="571" spans="1:7" s="32" customFormat="1" x14ac:dyDescent="0.25">
      <c r="A571" s="315"/>
      <c r="B571" s="315"/>
      <c r="C571" s="326"/>
      <c r="D571" s="315"/>
      <c r="E571" s="321"/>
      <c r="F571" s="322"/>
      <c r="G571" s="315"/>
    </row>
    <row r="572" spans="1:7" s="32" customFormat="1" x14ac:dyDescent="0.25">
      <c r="A572" s="315"/>
      <c r="B572" s="315"/>
      <c r="C572" s="326"/>
      <c r="D572" s="315"/>
      <c r="E572" s="321"/>
      <c r="F572" s="322"/>
      <c r="G572" s="315"/>
    </row>
    <row r="573" spans="1:7" s="32" customFormat="1" x14ac:dyDescent="0.25">
      <c r="A573" s="315"/>
      <c r="B573" s="315"/>
      <c r="C573" s="326"/>
      <c r="D573" s="315"/>
      <c r="E573" s="321"/>
      <c r="F573" s="322"/>
      <c r="G573" s="315"/>
    </row>
    <row r="574" spans="1:7" s="32" customFormat="1" x14ac:dyDescent="0.25">
      <c r="A574" s="315"/>
      <c r="B574" s="315"/>
      <c r="C574" s="326"/>
      <c r="D574" s="315"/>
      <c r="E574" s="321"/>
      <c r="F574" s="322"/>
      <c r="G574" s="315"/>
    </row>
    <row r="575" spans="1:7" s="32" customFormat="1" x14ac:dyDescent="0.25">
      <c r="A575" s="315"/>
      <c r="B575" s="315"/>
      <c r="C575" s="326"/>
      <c r="D575" s="315"/>
      <c r="E575" s="321"/>
      <c r="F575" s="322"/>
      <c r="G575" s="315"/>
    </row>
    <row r="576" spans="1:7" s="32" customFormat="1" x14ac:dyDescent="0.25">
      <c r="A576" s="315"/>
      <c r="B576" s="315"/>
      <c r="C576" s="326"/>
      <c r="D576" s="315"/>
      <c r="E576" s="321"/>
      <c r="F576" s="322"/>
      <c r="G576" s="315"/>
    </row>
    <row r="577" spans="1:7" s="32" customFormat="1" x14ac:dyDescent="0.25">
      <c r="A577" s="315"/>
      <c r="B577" s="315"/>
      <c r="C577" s="326"/>
      <c r="D577" s="315"/>
      <c r="E577" s="321"/>
      <c r="F577" s="322"/>
      <c r="G577" s="315"/>
    </row>
    <row r="578" spans="1:7" s="32" customFormat="1" x14ac:dyDescent="0.25">
      <c r="A578" s="315"/>
      <c r="B578" s="315"/>
      <c r="C578" s="326"/>
      <c r="D578" s="315"/>
      <c r="E578" s="321"/>
      <c r="F578" s="322"/>
      <c r="G578" s="315"/>
    </row>
    <row r="579" spans="1:7" s="32" customFormat="1" x14ac:dyDescent="0.25">
      <c r="A579" s="315"/>
      <c r="B579" s="315"/>
      <c r="C579" s="326"/>
      <c r="D579" s="315"/>
      <c r="E579" s="321"/>
      <c r="F579" s="322"/>
      <c r="G579" s="315"/>
    </row>
    <row r="580" spans="1:7" s="32" customFormat="1" x14ac:dyDescent="0.25">
      <c r="A580" s="315"/>
      <c r="B580" s="315"/>
      <c r="C580" s="326"/>
      <c r="D580" s="315"/>
      <c r="E580" s="321"/>
      <c r="F580" s="322"/>
      <c r="G580" s="315"/>
    </row>
    <row r="581" spans="1:7" s="32" customFormat="1" x14ac:dyDescent="0.25">
      <c r="A581" s="315"/>
      <c r="B581" s="315"/>
      <c r="C581" s="326"/>
      <c r="D581" s="315"/>
      <c r="E581" s="321"/>
      <c r="F581" s="322"/>
      <c r="G581" s="315"/>
    </row>
    <row r="582" spans="1:7" s="32" customFormat="1" x14ac:dyDescent="0.25">
      <c r="A582" s="315"/>
      <c r="B582" s="315"/>
      <c r="C582" s="326"/>
      <c r="D582" s="315"/>
      <c r="E582" s="321"/>
      <c r="F582" s="322"/>
      <c r="G582" s="315"/>
    </row>
    <row r="583" spans="1:7" s="32" customFormat="1" x14ac:dyDescent="0.25">
      <c r="A583" s="315"/>
      <c r="B583" s="315"/>
      <c r="C583" s="326"/>
      <c r="D583" s="315"/>
      <c r="E583" s="321"/>
      <c r="F583" s="322"/>
      <c r="G583" s="315"/>
    </row>
    <row r="584" spans="1:7" s="32" customFormat="1" x14ac:dyDescent="0.25">
      <c r="A584" s="315"/>
      <c r="B584" s="315"/>
      <c r="C584" s="326"/>
      <c r="D584" s="315"/>
      <c r="E584" s="321"/>
      <c r="F584" s="322"/>
      <c r="G584" s="315"/>
    </row>
    <row r="585" spans="1:7" s="32" customFormat="1" x14ac:dyDescent="0.25">
      <c r="A585" s="315"/>
      <c r="B585" s="315"/>
      <c r="C585" s="326"/>
      <c r="D585" s="315"/>
      <c r="E585" s="321"/>
      <c r="F585" s="322"/>
      <c r="G585" s="315"/>
    </row>
    <row r="586" spans="1:7" s="32" customFormat="1" x14ac:dyDescent="0.25">
      <c r="A586" s="315"/>
      <c r="B586" s="315"/>
      <c r="C586" s="326"/>
      <c r="D586" s="315"/>
      <c r="E586" s="321"/>
      <c r="F586" s="322"/>
      <c r="G586" s="315"/>
    </row>
    <row r="587" spans="1:7" s="32" customFormat="1" x14ac:dyDescent="0.25">
      <c r="A587" s="315"/>
      <c r="B587" s="315"/>
      <c r="C587" s="326"/>
      <c r="D587" s="315"/>
      <c r="E587" s="321"/>
      <c r="F587" s="322"/>
      <c r="G587" s="315"/>
    </row>
    <row r="588" spans="1:7" s="32" customFormat="1" x14ac:dyDescent="0.25">
      <c r="A588" s="315"/>
      <c r="B588" s="315"/>
      <c r="C588" s="326"/>
      <c r="D588" s="315"/>
      <c r="E588" s="321"/>
      <c r="F588" s="322"/>
      <c r="G588" s="315"/>
    </row>
    <row r="589" spans="1:7" s="32" customFormat="1" x14ac:dyDescent="0.25">
      <c r="A589" s="315"/>
      <c r="B589" s="315"/>
      <c r="C589" s="326"/>
      <c r="D589" s="315"/>
      <c r="E589" s="321"/>
      <c r="F589" s="322"/>
      <c r="G589" s="315"/>
    </row>
    <row r="590" spans="1:7" s="32" customFormat="1" x14ac:dyDescent="0.25">
      <c r="A590" s="315"/>
      <c r="B590" s="315"/>
      <c r="C590" s="326"/>
      <c r="D590" s="315"/>
      <c r="E590" s="321"/>
      <c r="F590" s="322"/>
      <c r="G590" s="315"/>
    </row>
    <row r="591" spans="1:7" s="32" customFormat="1" x14ac:dyDescent="0.25">
      <c r="A591" s="315"/>
      <c r="B591" s="315"/>
      <c r="C591" s="326"/>
      <c r="D591" s="315"/>
      <c r="E591" s="321"/>
      <c r="F591" s="322"/>
      <c r="G591" s="315"/>
    </row>
    <row r="592" spans="1:7" s="32" customFormat="1" x14ac:dyDescent="0.25">
      <c r="A592" s="315"/>
      <c r="B592" s="315"/>
      <c r="C592" s="326"/>
      <c r="D592" s="315"/>
      <c r="E592" s="321"/>
      <c r="F592" s="322"/>
      <c r="G592" s="315"/>
    </row>
    <row r="593" spans="1:7" s="32" customFormat="1" x14ac:dyDescent="0.25">
      <c r="A593" s="315"/>
      <c r="B593" s="315"/>
      <c r="C593" s="326"/>
      <c r="D593" s="315"/>
      <c r="E593" s="321"/>
      <c r="F593" s="322"/>
      <c r="G593" s="315"/>
    </row>
    <row r="594" spans="1:7" s="32" customFormat="1" x14ac:dyDescent="0.25">
      <c r="A594" s="315"/>
      <c r="B594" s="315"/>
      <c r="C594" s="326"/>
      <c r="D594" s="315"/>
      <c r="E594" s="321"/>
      <c r="F594" s="322"/>
      <c r="G594" s="315"/>
    </row>
    <row r="595" spans="1:7" s="32" customFormat="1" x14ac:dyDescent="0.25">
      <c r="A595" s="315"/>
      <c r="B595" s="315"/>
      <c r="C595" s="326"/>
      <c r="D595" s="315"/>
      <c r="E595" s="321"/>
      <c r="F595" s="322"/>
      <c r="G595" s="315"/>
    </row>
    <row r="596" spans="1:7" s="32" customFormat="1" x14ac:dyDescent="0.25">
      <c r="A596" s="315"/>
      <c r="B596" s="315"/>
      <c r="C596" s="326"/>
      <c r="D596" s="315"/>
      <c r="E596" s="321"/>
      <c r="F596" s="322"/>
      <c r="G596" s="315"/>
    </row>
    <row r="597" spans="1:7" s="32" customFormat="1" x14ac:dyDescent="0.25">
      <c r="A597" s="315"/>
      <c r="B597" s="315"/>
      <c r="C597" s="326"/>
      <c r="D597" s="315"/>
      <c r="E597" s="321"/>
      <c r="F597" s="322"/>
      <c r="G597" s="315"/>
    </row>
    <row r="598" spans="1:7" s="32" customFormat="1" x14ac:dyDescent="0.25">
      <c r="A598" s="315"/>
      <c r="B598" s="315"/>
      <c r="C598" s="326"/>
      <c r="D598" s="315"/>
      <c r="E598" s="321"/>
      <c r="F598" s="322"/>
      <c r="G598" s="315"/>
    </row>
    <row r="599" spans="1:7" s="32" customFormat="1" x14ac:dyDescent="0.25">
      <c r="A599" s="315"/>
      <c r="B599" s="315"/>
      <c r="C599" s="326"/>
      <c r="D599" s="315"/>
      <c r="E599" s="321"/>
      <c r="F599" s="322"/>
      <c r="G599" s="315"/>
    </row>
    <row r="600" spans="1:7" s="32" customFormat="1" x14ac:dyDescent="0.25">
      <c r="A600" s="315"/>
      <c r="B600" s="315"/>
      <c r="C600" s="326"/>
      <c r="D600" s="315"/>
      <c r="E600" s="321"/>
      <c r="F600" s="322"/>
      <c r="G600" s="315"/>
    </row>
    <row r="601" spans="1:7" s="32" customFormat="1" x14ac:dyDescent="0.25">
      <c r="A601" s="315"/>
      <c r="B601" s="315"/>
      <c r="C601" s="326"/>
      <c r="D601" s="315"/>
      <c r="E601" s="321"/>
      <c r="F601" s="322"/>
      <c r="G601" s="315"/>
    </row>
    <row r="602" spans="1:7" s="32" customFormat="1" x14ac:dyDescent="0.25">
      <c r="A602" s="315"/>
      <c r="B602" s="315"/>
      <c r="C602" s="326"/>
      <c r="D602" s="315"/>
      <c r="E602" s="321"/>
      <c r="F602" s="322"/>
      <c r="G602" s="315"/>
    </row>
    <row r="603" spans="1:7" s="32" customFormat="1" x14ac:dyDescent="0.25">
      <c r="A603" s="315"/>
      <c r="B603" s="315"/>
      <c r="C603" s="326"/>
      <c r="D603" s="315"/>
      <c r="E603" s="321"/>
      <c r="F603" s="322"/>
      <c r="G603" s="315"/>
    </row>
    <row r="604" spans="1:7" s="32" customFormat="1" x14ac:dyDescent="0.25">
      <c r="A604" s="315"/>
      <c r="B604" s="315"/>
      <c r="C604" s="326"/>
      <c r="D604" s="315"/>
      <c r="E604" s="321"/>
      <c r="F604" s="322"/>
      <c r="G604" s="315"/>
    </row>
    <row r="605" spans="1:7" s="32" customFormat="1" x14ac:dyDescent="0.25">
      <c r="A605" s="315"/>
      <c r="B605" s="315"/>
      <c r="C605" s="326"/>
      <c r="D605" s="315"/>
      <c r="E605" s="321"/>
      <c r="F605" s="322"/>
      <c r="G605" s="315"/>
    </row>
    <row r="606" spans="1:7" s="32" customFormat="1" x14ac:dyDescent="0.25">
      <c r="A606" s="315"/>
      <c r="B606" s="315"/>
      <c r="C606" s="326"/>
      <c r="D606" s="315"/>
      <c r="E606" s="321"/>
      <c r="F606" s="322"/>
      <c r="G606" s="315"/>
    </row>
    <row r="607" spans="1:7" s="32" customFormat="1" x14ac:dyDescent="0.25">
      <c r="A607" s="315"/>
      <c r="B607" s="315"/>
      <c r="C607" s="326"/>
      <c r="D607" s="315"/>
      <c r="E607" s="321"/>
      <c r="F607" s="322"/>
      <c r="G607" s="315"/>
    </row>
    <row r="608" spans="1:7" s="32" customFormat="1" x14ac:dyDescent="0.25">
      <c r="A608" s="315"/>
      <c r="B608" s="315"/>
      <c r="C608" s="326"/>
      <c r="D608" s="315"/>
      <c r="E608" s="321"/>
      <c r="F608" s="322"/>
      <c r="G608" s="315"/>
    </row>
    <row r="609" spans="1:7" s="32" customFormat="1" x14ac:dyDescent="0.25">
      <c r="A609" s="315"/>
      <c r="B609" s="315"/>
      <c r="C609" s="326"/>
      <c r="D609" s="315"/>
      <c r="E609" s="321"/>
      <c r="F609" s="322"/>
      <c r="G609" s="315"/>
    </row>
    <row r="610" spans="1:7" s="32" customFormat="1" x14ac:dyDescent="0.25">
      <c r="A610" s="315"/>
      <c r="B610" s="315"/>
      <c r="C610" s="326"/>
      <c r="D610" s="315"/>
      <c r="E610" s="321"/>
      <c r="F610" s="322"/>
      <c r="G610" s="315"/>
    </row>
    <row r="611" spans="1:7" s="32" customFormat="1" x14ac:dyDescent="0.25">
      <c r="A611" s="315"/>
      <c r="B611" s="315"/>
      <c r="C611" s="326"/>
      <c r="D611" s="315"/>
      <c r="E611" s="321"/>
      <c r="F611" s="322"/>
      <c r="G611" s="315"/>
    </row>
    <row r="612" spans="1:7" s="32" customFormat="1" x14ac:dyDescent="0.25">
      <c r="A612" s="315"/>
      <c r="B612" s="315"/>
      <c r="C612" s="326"/>
      <c r="D612" s="315"/>
      <c r="E612" s="321"/>
      <c r="F612" s="322"/>
      <c r="G612" s="315"/>
    </row>
    <row r="613" spans="1:7" s="32" customFormat="1" x14ac:dyDescent="0.25">
      <c r="A613" s="315"/>
      <c r="B613" s="315"/>
      <c r="C613" s="326"/>
      <c r="D613" s="315"/>
      <c r="E613" s="321"/>
      <c r="F613" s="322"/>
      <c r="G613" s="315"/>
    </row>
    <row r="614" spans="1:7" s="32" customFormat="1" x14ac:dyDescent="0.25">
      <c r="A614" s="315"/>
      <c r="B614" s="315"/>
      <c r="C614" s="326"/>
      <c r="D614" s="315"/>
      <c r="E614" s="321"/>
      <c r="F614" s="322"/>
      <c r="G614" s="315"/>
    </row>
    <row r="615" spans="1:7" s="32" customFormat="1" x14ac:dyDescent="0.25">
      <c r="A615" s="315"/>
      <c r="B615" s="315"/>
      <c r="C615" s="326"/>
      <c r="D615" s="315"/>
      <c r="E615" s="321"/>
      <c r="F615" s="322"/>
      <c r="G615" s="315"/>
    </row>
    <row r="616" spans="1:7" s="32" customFormat="1" x14ac:dyDescent="0.25">
      <c r="A616" s="315"/>
      <c r="B616" s="315"/>
      <c r="C616" s="326"/>
      <c r="D616" s="315"/>
      <c r="E616" s="321"/>
      <c r="F616" s="322"/>
      <c r="G616" s="315"/>
    </row>
    <row r="617" spans="1:7" s="32" customFormat="1" x14ac:dyDescent="0.25">
      <c r="A617" s="315"/>
      <c r="B617" s="315"/>
      <c r="C617" s="326"/>
      <c r="D617" s="315"/>
      <c r="E617" s="321"/>
      <c r="F617" s="322"/>
      <c r="G617" s="315"/>
    </row>
    <row r="618" spans="1:7" s="32" customFormat="1" x14ac:dyDescent="0.25">
      <c r="A618" s="315"/>
      <c r="B618" s="315"/>
      <c r="C618" s="326"/>
      <c r="D618" s="315"/>
      <c r="E618" s="321"/>
      <c r="F618" s="322"/>
      <c r="G618" s="315"/>
    </row>
    <row r="619" spans="1:7" s="32" customFormat="1" x14ac:dyDescent="0.25">
      <c r="A619" s="315"/>
      <c r="B619" s="315"/>
      <c r="C619" s="326"/>
      <c r="D619" s="315"/>
      <c r="E619" s="321"/>
      <c r="F619" s="322"/>
      <c r="G619" s="315"/>
    </row>
    <row r="620" spans="1:7" s="32" customFormat="1" x14ac:dyDescent="0.25">
      <c r="A620" s="315"/>
      <c r="B620" s="315"/>
      <c r="C620" s="326"/>
      <c r="D620" s="315"/>
      <c r="E620" s="321"/>
      <c r="F620" s="322"/>
      <c r="G620" s="315"/>
    </row>
    <row r="621" spans="1:7" s="32" customFormat="1" x14ac:dyDescent="0.25">
      <c r="A621" s="315"/>
      <c r="B621" s="315"/>
      <c r="C621" s="326"/>
      <c r="D621" s="315"/>
      <c r="E621" s="321"/>
      <c r="F621" s="322"/>
      <c r="G621" s="315"/>
    </row>
    <row r="622" spans="1:7" s="32" customFormat="1" x14ac:dyDescent="0.25">
      <c r="A622" s="315"/>
      <c r="B622" s="315"/>
      <c r="C622" s="326"/>
      <c r="D622" s="315"/>
      <c r="E622" s="321"/>
      <c r="F622" s="322"/>
      <c r="G622" s="315"/>
    </row>
    <row r="623" spans="1:7" s="32" customFormat="1" x14ac:dyDescent="0.25">
      <c r="A623" s="315"/>
      <c r="B623" s="315"/>
      <c r="C623" s="326"/>
      <c r="D623" s="315"/>
      <c r="E623" s="321"/>
      <c r="F623" s="322"/>
      <c r="G623" s="315"/>
    </row>
    <row r="624" spans="1:7" s="32" customFormat="1" x14ac:dyDescent="0.25">
      <c r="A624" s="315"/>
      <c r="B624" s="315"/>
      <c r="C624" s="326"/>
      <c r="D624" s="315"/>
      <c r="E624" s="321"/>
      <c r="F624" s="322"/>
      <c r="G624" s="315"/>
    </row>
    <row r="625" spans="1:7" s="32" customFormat="1" x14ac:dyDescent="0.25">
      <c r="A625" s="315"/>
      <c r="B625" s="315"/>
      <c r="C625" s="326"/>
      <c r="D625" s="315"/>
      <c r="E625" s="321"/>
      <c r="F625" s="322"/>
      <c r="G625" s="315"/>
    </row>
    <row r="626" spans="1:7" s="32" customFormat="1" x14ac:dyDescent="0.25">
      <c r="A626" s="315"/>
      <c r="B626" s="315"/>
      <c r="C626" s="326"/>
      <c r="D626" s="315"/>
      <c r="E626" s="321"/>
      <c r="F626" s="322"/>
      <c r="G626" s="315"/>
    </row>
    <row r="627" spans="1:7" s="32" customFormat="1" x14ac:dyDescent="0.25">
      <c r="A627" s="315"/>
      <c r="B627" s="315"/>
      <c r="C627" s="326"/>
      <c r="D627" s="315"/>
      <c r="E627" s="321"/>
      <c r="F627" s="322"/>
      <c r="G627" s="315"/>
    </row>
    <row r="628" spans="1:7" s="32" customFormat="1" x14ac:dyDescent="0.25">
      <c r="A628" s="315"/>
      <c r="B628" s="315"/>
      <c r="C628" s="326"/>
      <c r="D628" s="315"/>
      <c r="E628" s="321"/>
      <c r="F628" s="322"/>
      <c r="G628" s="315"/>
    </row>
    <row r="629" spans="1:7" s="32" customFormat="1" x14ac:dyDescent="0.25">
      <c r="A629" s="315"/>
      <c r="B629" s="315"/>
      <c r="C629" s="326"/>
      <c r="D629" s="315"/>
      <c r="E629" s="321"/>
      <c r="F629" s="322"/>
      <c r="G629" s="315"/>
    </row>
    <row r="630" spans="1:7" s="32" customFormat="1" x14ac:dyDescent="0.25">
      <c r="A630" s="315"/>
      <c r="B630" s="315"/>
      <c r="C630" s="326"/>
      <c r="D630" s="315"/>
      <c r="E630" s="321"/>
      <c r="F630" s="322"/>
      <c r="G630" s="315"/>
    </row>
    <row r="631" spans="1:7" s="32" customFormat="1" x14ac:dyDescent="0.25">
      <c r="A631" s="315"/>
      <c r="B631" s="315"/>
      <c r="C631" s="326"/>
      <c r="D631" s="315"/>
      <c r="E631" s="321"/>
      <c r="F631" s="322"/>
      <c r="G631" s="315"/>
    </row>
    <row r="632" spans="1:7" s="32" customFormat="1" x14ac:dyDescent="0.25">
      <c r="A632" s="315"/>
      <c r="B632" s="315"/>
      <c r="C632" s="326"/>
      <c r="D632" s="315"/>
      <c r="E632" s="321"/>
      <c r="F632" s="322"/>
      <c r="G632" s="315"/>
    </row>
    <row r="633" spans="1:7" s="32" customFormat="1" x14ac:dyDescent="0.25">
      <c r="A633" s="315"/>
      <c r="B633" s="315"/>
      <c r="C633" s="326"/>
      <c r="D633" s="315"/>
      <c r="E633" s="321"/>
      <c r="F633" s="322"/>
      <c r="G633" s="315"/>
    </row>
    <row r="634" spans="1:7" s="32" customFormat="1" x14ac:dyDescent="0.25">
      <c r="A634" s="315"/>
      <c r="B634" s="315"/>
      <c r="C634" s="326"/>
      <c r="D634" s="315"/>
      <c r="E634" s="321"/>
      <c r="F634" s="322"/>
      <c r="G634" s="315"/>
    </row>
    <row r="635" spans="1:7" s="32" customFormat="1" x14ac:dyDescent="0.25">
      <c r="A635" s="315"/>
      <c r="B635" s="315"/>
      <c r="C635" s="326"/>
      <c r="D635" s="315"/>
      <c r="E635" s="321"/>
      <c r="F635" s="322"/>
      <c r="G635" s="315"/>
    </row>
    <row r="636" spans="1:7" s="32" customFormat="1" x14ac:dyDescent="0.25">
      <c r="A636" s="315"/>
      <c r="B636" s="315"/>
      <c r="C636" s="326"/>
      <c r="D636" s="315"/>
      <c r="E636" s="321"/>
      <c r="F636" s="322"/>
      <c r="G636" s="315"/>
    </row>
    <row r="637" spans="1:7" s="32" customFormat="1" x14ac:dyDescent="0.25">
      <c r="A637" s="315"/>
      <c r="B637" s="315"/>
      <c r="C637" s="326"/>
      <c r="D637" s="315"/>
      <c r="E637" s="321"/>
      <c r="F637" s="322"/>
      <c r="G637" s="315"/>
    </row>
    <row r="638" spans="1:7" s="32" customFormat="1" x14ac:dyDescent="0.25">
      <c r="A638" s="315"/>
      <c r="B638" s="315"/>
      <c r="C638" s="326"/>
      <c r="D638" s="315"/>
      <c r="E638" s="321"/>
      <c r="F638" s="322"/>
      <c r="G638" s="315"/>
    </row>
    <row r="639" spans="1:7" s="32" customFormat="1" x14ac:dyDescent="0.25">
      <c r="A639" s="315"/>
      <c r="B639" s="315"/>
      <c r="C639" s="326"/>
      <c r="D639" s="315"/>
      <c r="E639" s="321"/>
      <c r="F639" s="322"/>
      <c r="G639" s="315"/>
    </row>
    <row r="640" spans="1:7" s="32" customFormat="1" x14ac:dyDescent="0.25">
      <c r="A640" s="315"/>
      <c r="B640" s="315"/>
      <c r="C640" s="326"/>
      <c r="D640" s="315"/>
      <c r="E640" s="321"/>
      <c r="F640" s="322"/>
      <c r="G640" s="315"/>
    </row>
    <row r="641" spans="1:7" s="32" customFormat="1" x14ac:dyDescent="0.25">
      <c r="A641" s="315"/>
      <c r="B641" s="315"/>
      <c r="C641" s="326"/>
      <c r="D641" s="315"/>
      <c r="E641" s="321"/>
      <c r="F641" s="322"/>
      <c r="G641" s="315"/>
    </row>
    <row r="642" spans="1:7" s="32" customFormat="1" x14ac:dyDescent="0.25">
      <c r="A642" s="315"/>
      <c r="B642" s="315"/>
      <c r="C642" s="326"/>
      <c r="D642" s="315"/>
      <c r="E642" s="321"/>
      <c r="F642" s="322"/>
      <c r="G642" s="315"/>
    </row>
    <row r="643" spans="1:7" s="32" customFormat="1" x14ac:dyDescent="0.25">
      <c r="A643" s="315"/>
      <c r="B643" s="315"/>
      <c r="C643" s="326"/>
      <c r="D643" s="315"/>
      <c r="E643" s="321"/>
      <c r="F643" s="322"/>
      <c r="G643" s="315"/>
    </row>
    <row r="644" spans="1:7" s="32" customFormat="1" x14ac:dyDescent="0.25">
      <c r="A644" s="315"/>
      <c r="B644" s="315"/>
      <c r="C644" s="326"/>
      <c r="D644" s="315"/>
      <c r="E644" s="321"/>
      <c r="F644" s="322"/>
      <c r="G644" s="315"/>
    </row>
    <row r="645" spans="1:7" s="32" customFormat="1" x14ac:dyDescent="0.25">
      <c r="A645" s="315"/>
      <c r="B645" s="315"/>
      <c r="C645" s="326"/>
      <c r="D645" s="315"/>
      <c r="E645" s="321"/>
      <c r="F645" s="322"/>
      <c r="G645" s="315"/>
    </row>
    <row r="646" spans="1:7" s="32" customFormat="1" x14ac:dyDescent="0.25">
      <c r="A646" s="315"/>
      <c r="B646" s="315"/>
      <c r="C646" s="326"/>
      <c r="D646" s="315"/>
      <c r="E646" s="321"/>
      <c r="F646" s="322"/>
      <c r="G646" s="315"/>
    </row>
    <row r="647" spans="1:7" s="32" customFormat="1" x14ac:dyDescent="0.25">
      <c r="A647" s="315"/>
      <c r="B647" s="315"/>
      <c r="C647" s="326"/>
      <c r="D647" s="315"/>
      <c r="E647" s="321"/>
      <c r="F647" s="322"/>
      <c r="G647" s="315"/>
    </row>
    <row r="648" spans="1:7" s="32" customFormat="1" x14ac:dyDescent="0.25">
      <c r="A648" s="315"/>
      <c r="B648" s="315"/>
      <c r="C648" s="326"/>
      <c r="D648" s="315"/>
      <c r="E648" s="321"/>
      <c r="F648" s="322"/>
      <c r="G648" s="315"/>
    </row>
    <row r="649" spans="1:7" s="32" customFormat="1" x14ac:dyDescent="0.25">
      <c r="A649" s="315"/>
      <c r="B649" s="315"/>
      <c r="C649" s="326"/>
      <c r="D649" s="315"/>
      <c r="E649" s="321"/>
      <c r="F649" s="322"/>
      <c r="G649" s="315"/>
    </row>
    <row r="650" spans="1:7" s="32" customFormat="1" x14ac:dyDescent="0.25">
      <c r="A650" s="315"/>
      <c r="B650" s="315"/>
      <c r="C650" s="326"/>
      <c r="D650" s="315"/>
      <c r="E650" s="321"/>
      <c r="F650" s="322"/>
      <c r="G650" s="315"/>
    </row>
    <row r="651" spans="1:7" s="32" customFormat="1" x14ac:dyDescent="0.25">
      <c r="A651" s="315"/>
      <c r="B651" s="315"/>
      <c r="C651" s="326"/>
      <c r="D651" s="315"/>
      <c r="E651" s="321"/>
      <c r="F651" s="322"/>
      <c r="G651" s="315"/>
    </row>
    <row r="652" spans="1:7" s="32" customFormat="1" x14ac:dyDescent="0.25">
      <c r="A652" s="315"/>
      <c r="B652" s="315"/>
      <c r="C652" s="326"/>
      <c r="D652" s="315"/>
      <c r="E652" s="321"/>
      <c r="F652" s="322"/>
      <c r="G652" s="315"/>
    </row>
    <row r="653" spans="1:7" s="32" customFormat="1" x14ac:dyDescent="0.25">
      <c r="A653" s="315"/>
      <c r="B653" s="315"/>
      <c r="C653" s="326"/>
      <c r="D653" s="315"/>
      <c r="E653" s="321"/>
      <c r="F653" s="322"/>
      <c r="G653" s="315"/>
    </row>
    <row r="654" spans="1:7" s="32" customFormat="1" x14ac:dyDescent="0.25">
      <c r="A654" s="315"/>
      <c r="B654" s="315"/>
      <c r="C654" s="326"/>
      <c r="D654" s="315"/>
      <c r="E654" s="321"/>
      <c r="F654" s="322"/>
      <c r="G654" s="315"/>
    </row>
    <row r="655" spans="1:7" s="32" customFormat="1" x14ac:dyDescent="0.25">
      <c r="A655" s="315"/>
      <c r="B655" s="315"/>
      <c r="C655" s="326"/>
      <c r="D655" s="315"/>
      <c r="E655" s="321"/>
      <c r="F655" s="322"/>
      <c r="G655" s="315"/>
    </row>
    <row r="656" spans="1:7" s="32" customFormat="1" x14ac:dyDescent="0.25">
      <c r="A656" s="315"/>
      <c r="B656" s="315"/>
      <c r="C656" s="326"/>
      <c r="D656" s="315"/>
      <c r="E656" s="321"/>
      <c r="F656" s="322"/>
      <c r="G656" s="315"/>
    </row>
    <row r="657" spans="1:7" s="32" customFormat="1" x14ac:dyDescent="0.25">
      <c r="A657" s="315"/>
      <c r="B657" s="315"/>
      <c r="C657" s="326"/>
      <c r="D657" s="315"/>
      <c r="E657" s="321"/>
      <c r="F657" s="322"/>
      <c r="G657" s="315"/>
    </row>
    <row r="658" spans="1:7" s="32" customFormat="1" x14ac:dyDescent="0.25">
      <c r="A658" s="315"/>
      <c r="B658" s="315"/>
      <c r="C658" s="326"/>
      <c r="D658" s="315"/>
      <c r="E658" s="321"/>
      <c r="F658" s="322"/>
      <c r="G658" s="315"/>
    </row>
    <row r="659" spans="1:7" s="32" customFormat="1" x14ac:dyDescent="0.25">
      <c r="A659" s="315"/>
      <c r="B659" s="315"/>
      <c r="C659" s="326"/>
      <c r="D659" s="315"/>
      <c r="E659" s="321"/>
      <c r="F659" s="322"/>
      <c r="G659" s="315"/>
    </row>
    <row r="660" spans="1:7" s="32" customFormat="1" x14ac:dyDescent="0.25">
      <c r="A660" s="315"/>
      <c r="B660" s="315"/>
      <c r="C660" s="326"/>
      <c r="D660" s="315"/>
      <c r="E660" s="321"/>
      <c r="F660" s="322"/>
      <c r="G660" s="315"/>
    </row>
    <row r="661" spans="1:7" s="32" customFormat="1" x14ac:dyDescent="0.25">
      <c r="A661" s="315"/>
      <c r="B661" s="315"/>
      <c r="C661" s="326"/>
      <c r="D661" s="315"/>
      <c r="E661" s="321"/>
      <c r="F661" s="322"/>
      <c r="G661" s="315"/>
    </row>
    <row r="662" spans="1:7" s="32" customFormat="1" x14ac:dyDescent="0.25">
      <c r="A662" s="315"/>
      <c r="B662" s="315"/>
      <c r="C662" s="326"/>
      <c r="D662" s="315"/>
      <c r="E662" s="321"/>
      <c r="F662" s="322"/>
      <c r="G662" s="315"/>
    </row>
    <row r="663" spans="1:7" s="32" customFormat="1" x14ac:dyDescent="0.25">
      <c r="A663" s="315"/>
      <c r="B663" s="315"/>
      <c r="C663" s="326"/>
      <c r="D663" s="315"/>
      <c r="E663" s="321"/>
      <c r="F663" s="322"/>
      <c r="G663" s="315"/>
    </row>
    <row r="664" spans="1:7" s="32" customFormat="1" x14ac:dyDescent="0.25">
      <c r="A664" s="315"/>
      <c r="B664" s="315"/>
      <c r="C664" s="326"/>
      <c r="D664" s="315"/>
      <c r="E664" s="321"/>
      <c r="F664" s="322"/>
      <c r="G664" s="315"/>
    </row>
    <row r="665" spans="1:7" s="32" customFormat="1" x14ac:dyDescent="0.25">
      <c r="A665" s="315"/>
      <c r="B665" s="315"/>
      <c r="C665" s="326"/>
      <c r="D665" s="315"/>
      <c r="E665" s="321"/>
      <c r="F665" s="322"/>
      <c r="G665" s="315"/>
    </row>
    <row r="666" spans="1:7" s="32" customFormat="1" x14ac:dyDescent="0.25">
      <c r="A666" s="315"/>
      <c r="B666" s="315"/>
      <c r="C666" s="326"/>
      <c r="D666" s="315"/>
      <c r="E666" s="321"/>
      <c r="F666" s="322"/>
      <c r="G666" s="315"/>
    </row>
    <row r="667" spans="1:7" s="32" customFormat="1" x14ac:dyDescent="0.25">
      <c r="A667" s="315"/>
      <c r="B667" s="315"/>
      <c r="C667" s="326"/>
      <c r="D667" s="315"/>
      <c r="E667" s="321"/>
      <c r="F667" s="322"/>
      <c r="G667" s="315"/>
    </row>
    <row r="668" spans="1:7" s="32" customFormat="1" x14ac:dyDescent="0.25">
      <c r="A668" s="315"/>
      <c r="B668" s="315"/>
      <c r="C668" s="326"/>
      <c r="D668" s="315"/>
      <c r="E668" s="321"/>
      <c r="F668" s="322"/>
      <c r="G668" s="315"/>
    </row>
    <row r="669" spans="1:7" s="32" customFormat="1" x14ac:dyDescent="0.25">
      <c r="A669" s="315"/>
      <c r="B669" s="315"/>
      <c r="C669" s="326"/>
      <c r="D669" s="315"/>
      <c r="E669" s="321"/>
      <c r="F669" s="322"/>
      <c r="G669" s="315"/>
    </row>
    <row r="670" spans="1:7" s="32" customFormat="1" x14ac:dyDescent="0.25">
      <c r="A670" s="315"/>
      <c r="B670" s="315"/>
      <c r="C670" s="326"/>
      <c r="D670" s="315"/>
      <c r="E670" s="321"/>
      <c r="F670" s="322"/>
      <c r="G670" s="315"/>
    </row>
    <row r="671" spans="1:7" s="32" customFormat="1" x14ac:dyDescent="0.25">
      <c r="A671" s="315"/>
      <c r="B671" s="315"/>
      <c r="C671" s="326"/>
      <c r="D671" s="315"/>
      <c r="E671" s="321"/>
      <c r="F671" s="322"/>
      <c r="G671" s="315"/>
    </row>
    <row r="672" spans="1:7" s="32" customFormat="1" x14ac:dyDescent="0.25">
      <c r="A672" s="315"/>
      <c r="B672" s="315"/>
      <c r="C672" s="326"/>
      <c r="D672" s="315"/>
      <c r="E672" s="321"/>
      <c r="F672" s="322"/>
      <c r="G672" s="315"/>
    </row>
    <row r="673" spans="1:7" s="32" customFormat="1" x14ac:dyDescent="0.25">
      <c r="A673" s="315"/>
      <c r="B673" s="315"/>
      <c r="C673" s="326"/>
      <c r="D673" s="315"/>
      <c r="E673" s="321"/>
      <c r="F673" s="322"/>
      <c r="G673" s="315"/>
    </row>
    <row r="674" spans="1:7" s="32" customFormat="1" x14ac:dyDescent="0.25">
      <c r="A674" s="315"/>
      <c r="B674" s="315"/>
      <c r="C674" s="326"/>
      <c r="D674" s="315"/>
      <c r="E674" s="321"/>
      <c r="F674" s="322"/>
      <c r="G674" s="315"/>
    </row>
    <row r="675" spans="1:7" s="32" customFormat="1" x14ac:dyDescent="0.25">
      <c r="A675" s="315"/>
      <c r="B675" s="315"/>
      <c r="C675" s="326"/>
      <c r="D675" s="315"/>
      <c r="E675" s="321"/>
      <c r="F675" s="322"/>
      <c r="G675" s="315"/>
    </row>
    <row r="676" spans="1:7" s="32" customFormat="1" x14ac:dyDescent="0.25">
      <c r="A676" s="315"/>
      <c r="B676" s="315"/>
      <c r="C676" s="326"/>
      <c r="D676" s="315"/>
      <c r="E676" s="321"/>
      <c r="F676" s="322"/>
      <c r="G676" s="315"/>
    </row>
    <row r="677" spans="1:7" s="32" customFormat="1" x14ac:dyDescent="0.25">
      <c r="A677" s="315"/>
      <c r="B677" s="315"/>
      <c r="C677" s="326"/>
      <c r="D677" s="315"/>
      <c r="E677" s="321"/>
      <c r="F677" s="322"/>
      <c r="G677" s="315"/>
    </row>
    <row r="678" spans="1:7" s="32" customFormat="1" x14ac:dyDescent="0.25">
      <c r="A678" s="315"/>
      <c r="B678" s="315"/>
      <c r="C678" s="326"/>
      <c r="D678" s="315"/>
      <c r="E678" s="321"/>
      <c r="F678" s="322"/>
      <c r="G678" s="315"/>
    </row>
    <row r="679" spans="1:7" s="32" customFormat="1" x14ac:dyDescent="0.25">
      <c r="A679" s="315"/>
      <c r="B679" s="315"/>
      <c r="C679" s="326"/>
      <c r="D679" s="315"/>
      <c r="E679" s="321"/>
      <c r="F679" s="322"/>
      <c r="G679" s="315"/>
    </row>
    <row r="680" spans="1:7" s="32" customFormat="1" x14ac:dyDescent="0.25">
      <c r="A680" s="315"/>
      <c r="B680" s="315"/>
      <c r="C680" s="326"/>
      <c r="D680" s="315"/>
      <c r="E680" s="321"/>
      <c r="F680" s="322"/>
      <c r="G680" s="315"/>
    </row>
    <row r="681" spans="1:7" s="32" customFormat="1" x14ac:dyDescent="0.25">
      <c r="A681" s="315"/>
      <c r="B681" s="315"/>
      <c r="C681" s="326"/>
      <c r="D681" s="315"/>
      <c r="E681" s="321"/>
      <c r="F681" s="322"/>
      <c r="G681" s="315"/>
    </row>
    <row r="682" spans="1:7" s="32" customFormat="1" x14ac:dyDescent="0.25">
      <c r="A682" s="315"/>
      <c r="B682" s="315"/>
      <c r="C682" s="326"/>
      <c r="D682" s="315"/>
      <c r="E682" s="321"/>
      <c r="F682" s="322"/>
      <c r="G682" s="315"/>
    </row>
    <row r="683" spans="1:7" s="32" customFormat="1" x14ac:dyDescent="0.25">
      <c r="A683" s="315"/>
      <c r="B683" s="315"/>
      <c r="C683" s="326"/>
      <c r="D683" s="315"/>
      <c r="E683" s="321"/>
      <c r="F683" s="322"/>
      <c r="G683" s="315"/>
    </row>
    <row r="684" spans="1:7" s="32" customFormat="1" x14ac:dyDescent="0.25">
      <c r="A684" s="315"/>
      <c r="B684" s="315"/>
      <c r="C684" s="326"/>
      <c r="D684" s="315"/>
      <c r="E684" s="321"/>
      <c r="F684" s="322"/>
      <c r="G684" s="315"/>
    </row>
    <row r="685" spans="1:7" s="32" customFormat="1" x14ac:dyDescent="0.25">
      <c r="A685" s="315"/>
      <c r="B685" s="315"/>
      <c r="C685" s="326"/>
      <c r="D685" s="315"/>
      <c r="E685" s="321"/>
      <c r="F685" s="322"/>
      <c r="G685" s="315"/>
    </row>
    <row r="686" spans="1:7" s="32" customFormat="1" x14ac:dyDescent="0.25">
      <c r="A686" s="315"/>
      <c r="B686" s="315"/>
      <c r="C686" s="326"/>
      <c r="D686" s="315"/>
      <c r="E686" s="321"/>
      <c r="F686" s="322"/>
      <c r="G686" s="315"/>
    </row>
    <row r="687" spans="1:7" s="32" customFormat="1" x14ac:dyDescent="0.25">
      <c r="A687" s="315"/>
      <c r="B687" s="315"/>
      <c r="C687" s="326"/>
      <c r="D687" s="315"/>
      <c r="E687" s="321"/>
      <c r="F687" s="322"/>
      <c r="G687" s="315"/>
    </row>
    <row r="688" spans="1:7" s="32" customFormat="1" x14ac:dyDescent="0.25">
      <c r="A688" s="315"/>
      <c r="B688" s="315"/>
      <c r="C688" s="326"/>
      <c r="D688" s="315"/>
      <c r="E688" s="321"/>
      <c r="F688" s="322"/>
      <c r="G688" s="315"/>
    </row>
    <row r="689" spans="1:7" s="32" customFormat="1" x14ac:dyDescent="0.25">
      <c r="A689" s="315"/>
      <c r="B689" s="315"/>
      <c r="C689" s="326"/>
      <c r="D689" s="315"/>
      <c r="E689" s="321"/>
      <c r="F689" s="322"/>
      <c r="G689" s="315"/>
    </row>
    <row r="690" spans="1:7" s="32" customFormat="1" x14ac:dyDescent="0.25">
      <c r="A690" s="315"/>
      <c r="B690" s="315"/>
      <c r="C690" s="326"/>
      <c r="D690" s="315"/>
      <c r="E690" s="321"/>
      <c r="F690" s="322"/>
      <c r="G690" s="315"/>
    </row>
    <row r="691" spans="1:7" s="32" customFormat="1" x14ac:dyDescent="0.25">
      <c r="A691" s="315"/>
      <c r="B691" s="315"/>
      <c r="C691" s="326"/>
      <c r="D691" s="315"/>
      <c r="E691" s="321"/>
      <c r="F691" s="322"/>
      <c r="G691" s="315"/>
    </row>
    <row r="692" spans="1:7" s="32" customFormat="1" x14ac:dyDescent="0.25">
      <c r="A692" s="315"/>
      <c r="B692" s="315"/>
      <c r="C692" s="326"/>
      <c r="D692" s="315"/>
      <c r="E692" s="321"/>
      <c r="F692" s="322"/>
      <c r="G692" s="315"/>
    </row>
    <row r="693" spans="1:7" s="32" customFormat="1" x14ac:dyDescent="0.25">
      <c r="A693" s="315"/>
      <c r="B693" s="315"/>
      <c r="C693" s="326"/>
      <c r="D693" s="315"/>
      <c r="E693" s="321"/>
      <c r="F693" s="322"/>
      <c r="G693" s="315"/>
    </row>
    <row r="694" spans="1:7" s="32" customFormat="1" x14ac:dyDescent="0.25">
      <c r="A694" s="315"/>
      <c r="B694" s="315"/>
      <c r="C694" s="326"/>
      <c r="D694" s="315"/>
      <c r="E694" s="321"/>
      <c r="F694" s="322"/>
      <c r="G694" s="315"/>
    </row>
    <row r="695" spans="1:7" s="32" customFormat="1" x14ac:dyDescent="0.25">
      <c r="A695" s="315"/>
      <c r="B695" s="315"/>
      <c r="C695" s="326"/>
      <c r="D695" s="315"/>
      <c r="E695" s="321"/>
      <c r="F695" s="322"/>
      <c r="G695" s="315"/>
    </row>
    <row r="696" spans="1:7" s="32" customFormat="1" x14ac:dyDescent="0.25">
      <c r="A696" s="315"/>
      <c r="B696" s="315"/>
      <c r="C696" s="326"/>
      <c r="D696" s="315"/>
      <c r="E696" s="321"/>
      <c r="F696" s="322"/>
      <c r="G696" s="315"/>
    </row>
    <row r="697" spans="1:7" s="32" customFormat="1" x14ac:dyDescent="0.25">
      <c r="A697" s="315"/>
      <c r="B697" s="315"/>
      <c r="C697" s="326"/>
      <c r="D697" s="315"/>
      <c r="E697" s="321"/>
      <c r="F697" s="322"/>
      <c r="G697" s="315"/>
    </row>
    <row r="698" spans="1:7" s="32" customFormat="1" x14ac:dyDescent="0.25">
      <c r="A698" s="315"/>
      <c r="B698" s="315"/>
      <c r="C698" s="326"/>
      <c r="D698" s="315"/>
      <c r="E698" s="321"/>
      <c r="F698" s="322"/>
      <c r="G698" s="315"/>
    </row>
    <row r="699" spans="1:7" s="32" customFormat="1" x14ac:dyDescent="0.25">
      <c r="A699" s="315"/>
      <c r="B699" s="315"/>
      <c r="C699" s="326"/>
      <c r="D699" s="315"/>
      <c r="E699" s="321"/>
      <c r="F699" s="322"/>
      <c r="G699" s="315"/>
    </row>
    <row r="700" spans="1:7" s="32" customFormat="1" x14ac:dyDescent="0.25">
      <c r="A700" s="315"/>
      <c r="B700" s="315"/>
      <c r="C700" s="326"/>
      <c r="D700" s="315"/>
      <c r="E700" s="321"/>
      <c r="F700" s="322"/>
      <c r="G700" s="315"/>
    </row>
    <row r="701" spans="1:7" s="32" customFormat="1" x14ac:dyDescent="0.25">
      <c r="A701" s="315"/>
      <c r="B701" s="315"/>
      <c r="C701" s="326"/>
      <c r="D701" s="315"/>
      <c r="E701" s="321"/>
      <c r="F701" s="322"/>
      <c r="G701" s="315"/>
    </row>
    <row r="702" spans="1:7" s="32" customFormat="1" x14ac:dyDescent="0.25">
      <c r="A702" s="315"/>
      <c r="B702" s="315"/>
      <c r="C702" s="326"/>
      <c r="D702" s="315"/>
      <c r="E702" s="321"/>
      <c r="F702" s="322"/>
      <c r="G702" s="315"/>
    </row>
    <row r="703" spans="1:7" s="32" customFormat="1" x14ac:dyDescent="0.25">
      <c r="A703" s="315"/>
      <c r="B703" s="315"/>
      <c r="C703" s="326"/>
      <c r="D703" s="315"/>
      <c r="E703" s="321"/>
      <c r="F703" s="322"/>
      <c r="G703" s="315"/>
    </row>
    <row r="704" spans="1:7" s="32" customFormat="1" x14ac:dyDescent="0.25">
      <c r="A704" s="315"/>
      <c r="B704" s="315"/>
      <c r="C704" s="326"/>
      <c r="D704" s="315"/>
      <c r="E704" s="321"/>
      <c r="F704" s="322"/>
      <c r="G704" s="315"/>
    </row>
    <row r="705" spans="1:7" s="32" customFormat="1" x14ac:dyDescent="0.25">
      <c r="A705" s="315"/>
      <c r="B705" s="315"/>
      <c r="C705" s="326"/>
      <c r="D705" s="315"/>
      <c r="E705" s="321"/>
      <c r="F705" s="322"/>
      <c r="G705" s="315"/>
    </row>
    <row r="706" spans="1:7" s="32" customFormat="1" x14ac:dyDescent="0.25">
      <c r="A706" s="315"/>
      <c r="B706" s="315"/>
      <c r="C706" s="326"/>
      <c r="D706" s="315"/>
      <c r="E706" s="321"/>
      <c r="F706" s="322"/>
      <c r="G706" s="315"/>
    </row>
    <row r="707" spans="1:7" s="32" customFormat="1" x14ac:dyDescent="0.25">
      <c r="A707" s="315"/>
      <c r="B707" s="315"/>
      <c r="C707" s="326"/>
      <c r="D707" s="315"/>
      <c r="E707" s="321"/>
      <c r="F707" s="322"/>
      <c r="G707" s="315"/>
    </row>
    <row r="708" spans="1:7" s="32" customFormat="1" x14ac:dyDescent="0.25">
      <c r="A708" s="315"/>
      <c r="B708" s="315"/>
      <c r="C708" s="326"/>
      <c r="D708" s="315"/>
      <c r="E708" s="321"/>
      <c r="F708" s="322"/>
      <c r="G708" s="315"/>
    </row>
    <row r="709" spans="1:7" s="32" customFormat="1" x14ac:dyDescent="0.25">
      <c r="A709" s="315"/>
      <c r="B709" s="315"/>
      <c r="C709" s="326"/>
      <c r="D709" s="315"/>
      <c r="E709" s="321"/>
      <c r="F709" s="322"/>
      <c r="G709" s="315"/>
    </row>
    <row r="710" spans="1:7" s="32" customFormat="1" x14ac:dyDescent="0.25">
      <c r="A710" s="315"/>
      <c r="B710" s="315"/>
      <c r="C710" s="326"/>
      <c r="D710" s="315"/>
      <c r="E710" s="321"/>
      <c r="F710" s="322"/>
      <c r="G710" s="315"/>
    </row>
    <row r="711" spans="1:7" s="32" customFormat="1" x14ac:dyDescent="0.25">
      <c r="A711" s="315"/>
      <c r="B711" s="315"/>
      <c r="C711" s="326"/>
      <c r="D711" s="315"/>
      <c r="E711" s="321"/>
      <c r="F711" s="322"/>
      <c r="G711" s="315"/>
    </row>
    <row r="712" spans="1:7" s="32" customFormat="1" x14ac:dyDescent="0.25">
      <c r="A712" s="315"/>
      <c r="B712" s="315"/>
      <c r="C712" s="326"/>
      <c r="D712" s="315"/>
      <c r="E712" s="321"/>
      <c r="F712" s="322"/>
      <c r="G712" s="315"/>
    </row>
    <row r="713" spans="1:7" s="32" customFormat="1" x14ac:dyDescent="0.25">
      <c r="A713" s="315"/>
      <c r="B713" s="315"/>
      <c r="C713" s="326"/>
      <c r="D713" s="315"/>
      <c r="E713" s="321"/>
      <c r="F713" s="322"/>
      <c r="G713" s="315"/>
    </row>
    <row r="714" spans="1:7" s="32" customFormat="1" x14ac:dyDescent="0.25">
      <c r="A714" s="315"/>
      <c r="B714" s="315"/>
      <c r="C714" s="326"/>
      <c r="D714" s="315"/>
      <c r="E714" s="321"/>
      <c r="F714" s="322"/>
      <c r="G714" s="315"/>
    </row>
    <row r="715" spans="1:7" s="32" customFormat="1" x14ac:dyDescent="0.25">
      <c r="A715" s="315"/>
      <c r="B715" s="315"/>
      <c r="C715" s="326"/>
      <c r="D715" s="315"/>
      <c r="E715" s="321"/>
      <c r="F715" s="322"/>
      <c r="G715" s="315"/>
    </row>
    <row r="716" spans="1:7" s="32" customFormat="1" x14ac:dyDescent="0.25">
      <c r="A716" s="315"/>
      <c r="B716" s="315"/>
      <c r="C716" s="326"/>
      <c r="D716" s="315"/>
      <c r="E716" s="321"/>
      <c r="F716" s="322"/>
      <c r="G716" s="315"/>
    </row>
    <row r="717" spans="1:7" s="32" customFormat="1" x14ac:dyDescent="0.25">
      <c r="A717" s="315"/>
      <c r="B717" s="315"/>
      <c r="C717" s="326"/>
      <c r="D717" s="315"/>
      <c r="E717" s="321"/>
      <c r="F717" s="322"/>
      <c r="G717" s="315"/>
    </row>
    <row r="718" spans="1:7" s="32" customFormat="1" x14ac:dyDescent="0.25">
      <c r="A718" s="315"/>
      <c r="B718" s="315"/>
      <c r="C718" s="326"/>
      <c r="D718" s="315"/>
      <c r="E718" s="321"/>
      <c r="F718" s="322"/>
      <c r="G718" s="315"/>
    </row>
    <row r="719" spans="1:7" s="32" customFormat="1" x14ac:dyDescent="0.25">
      <c r="A719" s="315"/>
      <c r="B719" s="315"/>
      <c r="C719" s="326"/>
      <c r="D719" s="315"/>
      <c r="E719" s="321"/>
      <c r="F719" s="322"/>
      <c r="G719" s="315"/>
    </row>
    <row r="720" spans="1:7" s="32" customFormat="1" x14ac:dyDescent="0.25">
      <c r="A720" s="315"/>
      <c r="B720" s="315"/>
      <c r="C720" s="326"/>
      <c r="D720" s="315"/>
      <c r="E720" s="321"/>
      <c r="F720" s="322"/>
      <c r="G720" s="315"/>
    </row>
    <row r="721" spans="1:7" s="32" customFormat="1" x14ac:dyDescent="0.25">
      <c r="A721" s="315"/>
      <c r="B721" s="315"/>
      <c r="C721" s="326"/>
      <c r="D721" s="315"/>
      <c r="E721" s="321"/>
      <c r="F721" s="322"/>
      <c r="G721" s="315"/>
    </row>
    <row r="722" spans="1:7" s="32" customFormat="1" x14ac:dyDescent="0.25">
      <c r="A722" s="315"/>
      <c r="B722" s="315"/>
      <c r="C722" s="326"/>
      <c r="D722" s="315"/>
      <c r="E722" s="321"/>
      <c r="F722" s="322"/>
      <c r="G722" s="315"/>
    </row>
    <row r="723" spans="1:7" s="32" customFormat="1" x14ac:dyDescent="0.25">
      <c r="A723" s="315"/>
      <c r="B723" s="315"/>
      <c r="C723" s="326"/>
      <c r="D723" s="315"/>
      <c r="E723" s="321"/>
      <c r="F723" s="322"/>
      <c r="G723" s="315"/>
    </row>
    <row r="724" spans="1:7" s="32" customFormat="1" x14ac:dyDescent="0.25">
      <c r="A724" s="315"/>
      <c r="B724" s="315"/>
      <c r="C724" s="326"/>
      <c r="D724" s="315"/>
      <c r="E724" s="321"/>
      <c r="F724" s="322"/>
      <c r="G724" s="315"/>
    </row>
    <row r="725" spans="1:7" s="32" customFormat="1" x14ac:dyDescent="0.25">
      <c r="A725" s="315"/>
      <c r="B725" s="315"/>
      <c r="C725" s="326"/>
      <c r="D725" s="315"/>
      <c r="E725" s="321"/>
      <c r="F725" s="322"/>
      <c r="G725" s="315"/>
    </row>
    <row r="726" spans="1:7" s="32" customFormat="1" x14ac:dyDescent="0.25">
      <c r="A726" s="315"/>
      <c r="B726" s="315"/>
      <c r="C726" s="326"/>
      <c r="D726" s="315"/>
      <c r="E726" s="321"/>
      <c r="F726" s="322"/>
      <c r="G726" s="315"/>
    </row>
    <row r="727" spans="1:7" s="32" customFormat="1" x14ac:dyDescent="0.25">
      <c r="A727" s="315"/>
      <c r="B727" s="315"/>
      <c r="C727" s="326"/>
      <c r="D727" s="315"/>
      <c r="E727" s="321"/>
      <c r="F727" s="322"/>
      <c r="G727" s="315"/>
    </row>
    <row r="728" spans="1:7" s="32" customFormat="1" x14ac:dyDescent="0.25">
      <c r="A728" s="315"/>
      <c r="B728" s="315"/>
      <c r="C728" s="326"/>
      <c r="D728" s="315"/>
      <c r="E728" s="321"/>
      <c r="F728" s="322"/>
      <c r="G728" s="315"/>
    </row>
    <row r="729" spans="1:7" s="32" customFormat="1" x14ac:dyDescent="0.25">
      <c r="A729" s="315"/>
      <c r="B729" s="315"/>
      <c r="C729" s="326"/>
      <c r="D729" s="315"/>
      <c r="E729" s="321"/>
      <c r="F729" s="322"/>
      <c r="G729" s="315"/>
    </row>
    <row r="730" spans="1:7" s="32" customFormat="1" x14ac:dyDescent="0.25">
      <c r="A730" s="315"/>
      <c r="B730" s="315"/>
      <c r="C730" s="326"/>
      <c r="D730" s="315"/>
      <c r="E730" s="321"/>
      <c r="F730" s="322"/>
      <c r="G730" s="315"/>
    </row>
    <row r="731" spans="1:7" s="32" customFormat="1" x14ac:dyDescent="0.25">
      <c r="A731" s="315"/>
      <c r="B731" s="315"/>
      <c r="C731" s="326"/>
      <c r="D731" s="315"/>
      <c r="E731" s="321"/>
      <c r="F731" s="322"/>
      <c r="G731" s="315"/>
    </row>
    <row r="732" spans="1:7" s="32" customFormat="1" x14ac:dyDescent="0.25">
      <c r="A732" s="315"/>
      <c r="B732" s="315"/>
      <c r="C732" s="326"/>
      <c r="D732" s="315"/>
      <c r="E732" s="321"/>
      <c r="F732" s="322"/>
      <c r="G732" s="315"/>
    </row>
    <row r="733" spans="1:7" s="32" customFormat="1" x14ac:dyDescent="0.25">
      <c r="A733" s="315"/>
      <c r="B733" s="315"/>
      <c r="C733" s="326"/>
      <c r="D733" s="315"/>
      <c r="E733" s="321"/>
      <c r="F733" s="322"/>
      <c r="G733" s="315"/>
    </row>
    <row r="734" spans="1:7" s="32" customFormat="1" x14ac:dyDescent="0.25">
      <c r="A734" s="315"/>
      <c r="B734" s="315"/>
      <c r="C734" s="326"/>
      <c r="D734" s="315"/>
      <c r="E734" s="321"/>
      <c r="F734" s="322"/>
      <c r="G734" s="315"/>
    </row>
    <row r="735" spans="1:7" s="32" customFormat="1" x14ac:dyDescent="0.25">
      <c r="A735" s="315"/>
      <c r="B735" s="315"/>
      <c r="C735" s="326"/>
      <c r="D735" s="315"/>
      <c r="E735" s="321"/>
      <c r="F735" s="322"/>
      <c r="G735" s="315"/>
    </row>
    <row r="736" spans="1:7" s="32" customFormat="1" x14ac:dyDescent="0.25">
      <c r="A736" s="315"/>
      <c r="B736" s="315"/>
      <c r="C736" s="326"/>
      <c r="D736" s="315"/>
      <c r="E736" s="321"/>
      <c r="F736" s="322"/>
      <c r="G736" s="315"/>
    </row>
    <row r="737" spans="1:7" s="32" customFormat="1" x14ac:dyDescent="0.25">
      <c r="A737" s="315"/>
      <c r="B737" s="315"/>
      <c r="C737" s="326"/>
      <c r="D737" s="315"/>
      <c r="E737" s="321"/>
      <c r="F737" s="322"/>
      <c r="G737" s="315"/>
    </row>
    <row r="738" spans="1:7" s="32" customFormat="1" x14ac:dyDescent="0.25">
      <c r="A738" s="315"/>
      <c r="B738" s="315"/>
      <c r="C738" s="326"/>
      <c r="D738" s="315"/>
      <c r="E738" s="321"/>
      <c r="F738" s="322"/>
      <c r="G738" s="315"/>
    </row>
    <row r="739" spans="1:7" s="32" customFormat="1" x14ac:dyDescent="0.25">
      <c r="A739" s="315"/>
      <c r="B739" s="315"/>
      <c r="C739" s="326"/>
      <c r="D739" s="315"/>
      <c r="E739" s="321"/>
      <c r="F739" s="322"/>
      <c r="G739" s="315"/>
    </row>
    <row r="740" spans="1:7" s="32" customFormat="1" x14ac:dyDescent="0.25">
      <c r="A740" s="315"/>
      <c r="B740" s="315"/>
      <c r="C740" s="326"/>
      <c r="D740" s="315"/>
      <c r="E740" s="321"/>
      <c r="F740" s="322"/>
      <c r="G740" s="315"/>
    </row>
    <row r="741" spans="1:7" s="32" customFormat="1" x14ac:dyDescent="0.25">
      <c r="A741" s="315"/>
      <c r="B741" s="315"/>
      <c r="C741" s="326"/>
      <c r="D741" s="315"/>
      <c r="E741" s="321"/>
      <c r="F741" s="322"/>
      <c r="G741" s="315"/>
    </row>
    <row r="742" spans="1:7" s="32" customFormat="1" x14ac:dyDescent="0.25">
      <c r="A742" s="315"/>
      <c r="B742" s="315"/>
      <c r="C742" s="326"/>
      <c r="D742" s="315"/>
      <c r="E742" s="321"/>
      <c r="F742" s="322"/>
      <c r="G742" s="315"/>
    </row>
    <row r="743" spans="1:7" s="32" customFormat="1" x14ac:dyDescent="0.25">
      <c r="A743" s="315"/>
      <c r="B743" s="315"/>
      <c r="C743" s="326"/>
      <c r="D743" s="315"/>
      <c r="E743" s="321"/>
      <c r="F743" s="322"/>
      <c r="G743" s="315"/>
    </row>
    <row r="744" spans="1:7" s="32" customFormat="1" x14ac:dyDescent="0.25">
      <c r="A744" s="315"/>
      <c r="B744" s="315"/>
      <c r="C744" s="326"/>
      <c r="D744" s="315"/>
      <c r="E744" s="321"/>
      <c r="F744" s="322"/>
      <c r="G744" s="315"/>
    </row>
    <row r="745" spans="1:7" s="32" customFormat="1" x14ac:dyDescent="0.25">
      <c r="A745" s="315"/>
      <c r="B745" s="315"/>
      <c r="C745" s="326"/>
      <c r="D745" s="315"/>
      <c r="E745" s="321"/>
      <c r="F745" s="322"/>
      <c r="G745" s="315"/>
    </row>
    <row r="746" spans="1:7" s="32" customFormat="1" x14ac:dyDescent="0.25">
      <c r="A746" s="315"/>
      <c r="B746" s="315"/>
      <c r="C746" s="326"/>
      <c r="D746" s="315"/>
      <c r="E746" s="321"/>
      <c r="F746" s="322"/>
      <c r="G746" s="315"/>
    </row>
    <row r="747" spans="1:7" s="32" customFormat="1" x14ac:dyDescent="0.25">
      <c r="A747" s="315"/>
      <c r="B747" s="315"/>
      <c r="C747" s="326"/>
      <c r="D747" s="315"/>
      <c r="E747" s="321"/>
      <c r="F747" s="322"/>
      <c r="G747" s="315"/>
    </row>
    <row r="748" spans="1:7" s="32" customFormat="1" x14ac:dyDescent="0.25">
      <c r="A748" s="315"/>
      <c r="B748" s="315"/>
      <c r="C748" s="326"/>
      <c r="D748" s="315"/>
      <c r="E748" s="321"/>
      <c r="F748" s="322"/>
      <c r="G748" s="315"/>
    </row>
    <row r="749" spans="1:7" s="32" customFormat="1" x14ac:dyDescent="0.25">
      <c r="A749" s="315"/>
      <c r="B749" s="315"/>
      <c r="C749" s="326"/>
      <c r="D749" s="315"/>
      <c r="E749" s="321"/>
      <c r="F749" s="322"/>
      <c r="G749" s="315"/>
    </row>
    <row r="750" spans="1:7" s="32" customFormat="1" x14ac:dyDescent="0.25">
      <c r="A750" s="315"/>
      <c r="B750" s="315"/>
      <c r="C750" s="326"/>
      <c r="D750" s="315"/>
      <c r="E750" s="321"/>
      <c r="F750" s="322"/>
      <c r="G750" s="315"/>
    </row>
    <row r="751" spans="1:7" s="32" customFormat="1" x14ac:dyDescent="0.25">
      <c r="A751" s="315"/>
      <c r="B751" s="315"/>
      <c r="C751" s="326"/>
      <c r="D751" s="315"/>
      <c r="E751" s="321"/>
      <c r="F751" s="322"/>
      <c r="G751" s="315"/>
    </row>
    <row r="752" spans="1:7" s="32" customFormat="1" x14ac:dyDescent="0.25">
      <c r="A752" s="315"/>
      <c r="B752" s="315"/>
      <c r="C752" s="326"/>
      <c r="D752" s="315"/>
      <c r="E752" s="321"/>
      <c r="F752" s="322"/>
      <c r="G752" s="315"/>
    </row>
    <row r="753" spans="1:7" s="32" customFormat="1" x14ac:dyDescent="0.25">
      <c r="A753" s="315"/>
      <c r="B753" s="315"/>
      <c r="C753" s="326"/>
      <c r="D753" s="315"/>
      <c r="E753" s="321"/>
      <c r="F753" s="322"/>
      <c r="G753" s="315"/>
    </row>
    <row r="754" spans="1:7" s="32" customFormat="1" x14ac:dyDescent="0.25">
      <c r="A754" s="315"/>
      <c r="B754" s="315"/>
      <c r="C754" s="326"/>
      <c r="D754" s="315"/>
      <c r="E754" s="321"/>
      <c r="F754" s="322"/>
      <c r="G754" s="315"/>
    </row>
    <row r="755" spans="1:7" s="32" customFormat="1" x14ac:dyDescent="0.25">
      <c r="A755" s="315"/>
      <c r="B755" s="315"/>
      <c r="C755" s="326"/>
      <c r="D755" s="315"/>
      <c r="E755" s="321"/>
      <c r="F755" s="322"/>
      <c r="G755" s="315"/>
    </row>
    <row r="756" spans="1:7" s="32" customFormat="1" x14ac:dyDescent="0.25">
      <c r="A756" s="315"/>
      <c r="B756" s="315"/>
      <c r="C756" s="326"/>
      <c r="D756" s="315"/>
      <c r="E756" s="321"/>
      <c r="F756" s="322"/>
      <c r="G756" s="315"/>
    </row>
    <row r="757" spans="1:7" s="32" customFormat="1" x14ac:dyDescent="0.25">
      <c r="A757" s="315"/>
      <c r="B757" s="315"/>
      <c r="C757" s="326"/>
      <c r="D757" s="315"/>
      <c r="E757" s="321"/>
      <c r="F757" s="322"/>
      <c r="G757" s="315"/>
    </row>
    <row r="758" spans="1:7" s="32" customFormat="1" x14ac:dyDescent="0.25">
      <c r="A758" s="315"/>
      <c r="B758" s="315"/>
      <c r="C758" s="326"/>
      <c r="D758" s="315"/>
      <c r="E758" s="321"/>
      <c r="F758" s="322"/>
      <c r="G758" s="315"/>
    </row>
    <row r="759" spans="1:7" s="32" customFormat="1" x14ac:dyDescent="0.25">
      <c r="A759" s="315"/>
      <c r="B759" s="315"/>
      <c r="C759" s="326"/>
      <c r="D759" s="315"/>
      <c r="E759" s="321"/>
      <c r="F759" s="322"/>
      <c r="G759" s="315"/>
    </row>
    <row r="760" spans="1:7" s="32" customFormat="1" x14ac:dyDescent="0.25">
      <c r="A760" s="315"/>
      <c r="B760" s="315"/>
      <c r="C760" s="326"/>
      <c r="D760" s="315"/>
      <c r="E760" s="321"/>
      <c r="F760" s="322"/>
      <c r="G760" s="315"/>
    </row>
    <row r="761" spans="1:7" s="32" customFormat="1" x14ac:dyDescent="0.25">
      <c r="A761" s="315"/>
      <c r="B761" s="315"/>
      <c r="C761" s="326"/>
      <c r="D761" s="315"/>
      <c r="E761" s="321"/>
      <c r="F761" s="322"/>
      <c r="G761" s="315"/>
    </row>
    <row r="762" spans="1:7" s="32" customFormat="1" x14ac:dyDescent="0.25">
      <c r="A762" s="315"/>
      <c r="B762" s="315"/>
      <c r="C762" s="326"/>
      <c r="D762" s="315"/>
      <c r="E762" s="321"/>
      <c r="F762" s="322"/>
      <c r="G762" s="315"/>
    </row>
    <row r="763" spans="1:7" s="32" customFormat="1" x14ac:dyDescent="0.25">
      <c r="A763" s="315"/>
      <c r="B763" s="315"/>
      <c r="C763" s="326"/>
      <c r="D763" s="315"/>
      <c r="E763" s="321"/>
      <c r="F763" s="322"/>
      <c r="G763" s="315"/>
    </row>
    <row r="764" spans="1:7" s="32" customFormat="1" x14ac:dyDescent="0.25">
      <c r="A764" s="315"/>
      <c r="B764" s="315"/>
      <c r="C764" s="326"/>
      <c r="D764" s="315"/>
      <c r="E764" s="321"/>
      <c r="F764" s="322"/>
      <c r="G764" s="315"/>
    </row>
    <row r="765" spans="1:7" s="32" customFormat="1" x14ac:dyDescent="0.25">
      <c r="A765" s="315"/>
      <c r="B765" s="315"/>
      <c r="C765" s="326"/>
      <c r="D765" s="315"/>
      <c r="E765" s="321"/>
      <c r="F765" s="322"/>
      <c r="G765" s="315"/>
    </row>
    <row r="766" spans="1:7" s="32" customFormat="1" x14ac:dyDescent="0.25">
      <c r="A766" s="315"/>
      <c r="B766" s="315"/>
      <c r="C766" s="326"/>
      <c r="D766" s="315"/>
      <c r="E766" s="321"/>
      <c r="F766" s="322"/>
      <c r="G766" s="315"/>
    </row>
    <row r="767" spans="1:7" s="32" customFormat="1" x14ac:dyDescent="0.25">
      <c r="A767" s="315"/>
      <c r="B767" s="315"/>
      <c r="C767" s="326"/>
      <c r="D767" s="315"/>
      <c r="E767" s="321"/>
      <c r="F767" s="322"/>
      <c r="G767" s="315"/>
    </row>
    <row r="768" spans="1:7" s="32" customFormat="1" x14ac:dyDescent="0.25">
      <c r="A768" s="315"/>
      <c r="B768" s="315"/>
      <c r="C768" s="326"/>
      <c r="D768" s="315"/>
      <c r="E768" s="321"/>
      <c r="F768" s="322"/>
      <c r="G768" s="315"/>
    </row>
    <row r="769" spans="1:7" s="32" customFormat="1" x14ac:dyDescent="0.25">
      <c r="A769" s="315"/>
      <c r="B769" s="315"/>
      <c r="C769" s="326"/>
      <c r="D769" s="315"/>
      <c r="E769" s="321"/>
      <c r="F769" s="322"/>
      <c r="G769" s="315"/>
    </row>
    <row r="770" spans="1:7" s="32" customFormat="1" x14ac:dyDescent="0.25">
      <c r="A770" s="315"/>
      <c r="B770" s="315"/>
      <c r="C770" s="326"/>
      <c r="D770" s="315"/>
      <c r="E770" s="321"/>
      <c r="F770" s="322"/>
      <c r="G770" s="315"/>
    </row>
    <row r="771" spans="1:7" s="32" customFormat="1" x14ac:dyDescent="0.25">
      <c r="A771" s="315"/>
      <c r="B771" s="315"/>
      <c r="C771" s="326"/>
      <c r="D771" s="315"/>
      <c r="E771" s="321"/>
      <c r="F771" s="322"/>
      <c r="G771" s="315"/>
    </row>
    <row r="772" spans="1:7" s="32" customFormat="1" x14ac:dyDescent="0.25">
      <c r="A772" s="315"/>
      <c r="B772" s="315"/>
      <c r="C772" s="326"/>
      <c r="D772" s="315"/>
      <c r="E772" s="321"/>
      <c r="F772" s="322"/>
      <c r="G772" s="315"/>
    </row>
    <row r="773" spans="1:7" s="32" customFormat="1" x14ac:dyDescent="0.25">
      <c r="A773" s="315"/>
      <c r="B773" s="315"/>
      <c r="C773" s="326"/>
      <c r="D773" s="315"/>
      <c r="E773" s="321"/>
      <c r="F773" s="322"/>
      <c r="G773" s="315"/>
    </row>
    <row r="774" spans="1:7" s="32" customFormat="1" x14ac:dyDescent="0.25">
      <c r="A774" s="315"/>
      <c r="B774" s="315"/>
      <c r="C774" s="326"/>
      <c r="D774" s="315"/>
      <c r="E774" s="321"/>
      <c r="F774" s="322"/>
      <c r="G774" s="315"/>
    </row>
    <row r="775" spans="1:7" s="32" customFormat="1" x14ac:dyDescent="0.25">
      <c r="A775" s="315"/>
      <c r="B775" s="315"/>
      <c r="C775" s="326"/>
      <c r="D775" s="315"/>
      <c r="E775" s="321"/>
      <c r="F775" s="322"/>
      <c r="G775" s="315"/>
    </row>
    <row r="776" spans="1:7" s="32" customFormat="1" x14ac:dyDescent="0.25">
      <c r="A776" s="315"/>
      <c r="B776" s="315"/>
      <c r="C776" s="326"/>
      <c r="D776" s="315"/>
      <c r="E776" s="321"/>
      <c r="F776" s="322"/>
      <c r="G776" s="315"/>
    </row>
    <row r="777" spans="1:7" s="32" customFormat="1" x14ac:dyDescent="0.25">
      <c r="A777" s="315"/>
      <c r="B777" s="315"/>
      <c r="C777" s="326"/>
      <c r="D777" s="315"/>
      <c r="E777" s="321"/>
      <c r="F777" s="322"/>
      <c r="G777" s="315"/>
    </row>
    <row r="778" spans="1:7" s="32" customFormat="1" x14ac:dyDescent="0.25">
      <c r="A778" s="315"/>
      <c r="B778" s="315"/>
      <c r="C778" s="326"/>
      <c r="D778" s="315"/>
      <c r="E778" s="321"/>
      <c r="F778" s="322"/>
      <c r="G778" s="315"/>
    </row>
    <row r="779" spans="1:7" s="32" customFormat="1" x14ac:dyDescent="0.25">
      <c r="A779" s="315"/>
      <c r="B779" s="315"/>
      <c r="C779" s="326"/>
      <c r="D779" s="315"/>
      <c r="E779" s="321"/>
      <c r="F779" s="322"/>
      <c r="G779" s="315"/>
    </row>
    <row r="780" spans="1:7" s="32" customFormat="1" x14ac:dyDescent="0.25">
      <c r="A780" s="315"/>
      <c r="B780" s="315"/>
      <c r="C780" s="326"/>
      <c r="D780" s="315"/>
      <c r="E780" s="321"/>
      <c r="F780" s="322"/>
      <c r="G780" s="315"/>
    </row>
    <row r="781" spans="1:7" s="32" customFormat="1" x14ac:dyDescent="0.25">
      <c r="A781" s="315"/>
      <c r="B781" s="315"/>
      <c r="C781" s="326"/>
      <c r="D781" s="315"/>
      <c r="E781" s="321"/>
      <c r="F781" s="322"/>
      <c r="G781" s="315"/>
    </row>
    <row r="782" spans="1:7" s="32" customFormat="1" x14ac:dyDescent="0.25">
      <c r="A782" s="315"/>
      <c r="B782" s="315"/>
      <c r="C782" s="326"/>
      <c r="D782" s="315"/>
      <c r="E782" s="321"/>
      <c r="F782" s="322"/>
      <c r="G782" s="315"/>
    </row>
    <row r="783" spans="1:7" s="32" customFormat="1" x14ac:dyDescent="0.25">
      <c r="A783" s="315"/>
      <c r="B783" s="315"/>
      <c r="C783" s="326"/>
      <c r="D783" s="315"/>
      <c r="E783" s="321"/>
      <c r="F783" s="322"/>
      <c r="G783" s="315"/>
    </row>
    <row r="784" spans="1:7" s="32" customFormat="1" x14ac:dyDescent="0.25">
      <c r="A784" s="315"/>
      <c r="B784" s="315"/>
      <c r="C784" s="326"/>
      <c r="D784" s="315"/>
      <c r="E784" s="321"/>
      <c r="F784" s="322"/>
      <c r="G784" s="315"/>
    </row>
    <row r="785" spans="1:7" s="32" customFormat="1" x14ac:dyDescent="0.25">
      <c r="A785" s="315"/>
      <c r="B785" s="315"/>
      <c r="C785" s="326"/>
      <c r="D785" s="315"/>
      <c r="E785" s="321"/>
      <c r="F785" s="322"/>
      <c r="G785" s="315"/>
    </row>
    <row r="786" spans="1:7" s="32" customFormat="1" x14ac:dyDescent="0.25">
      <c r="A786" s="315"/>
      <c r="B786" s="315"/>
      <c r="C786" s="326"/>
      <c r="D786" s="315"/>
      <c r="E786" s="321"/>
      <c r="F786" s="322"/>
      <c r="G786" s="315"/>
    </row>
    <row r="787" spans="1:7" s="32" customFormat="1" x14ac:dyDescent="0.25">
      <c r="A787" s="315"/>
      <c r="B787" s="315"/>
      <c r="C787" s="326"/>
      <c r="D787" s="315"/>
      <c r="E787" s="321"/>
      <c r="F787" s="322"/>
      <c r="G787" s="315"/>
    </row>
    <row r="788" spans="1:7" s="32" customFormat="1" x14ac:dyDescent="0.25">
      <c r="A788" s="315"/>
      <c r="B788" s="315"/>
      <c r="C788" s="326"/>
      <c r="D788" s="315"/>
      <c r="E788" s="321"/>
      <c r="F788" s="322"/>
      <c r="G788" s="315"/>
    </row>
    <row r="789" spans="1:7" s="32" customFormat="1" x14ac:dyDescent="0.25">
      <c r="A789" s="315"/>
      <c r="B789" s="315"/>
      <c r="C789" s="326"/>
      <c r="D789" s="315"/>
      <c r="E789" s="321"/>
      <c r="F789" s="322"/>
      <c r="G789" s="315"/>
    </row>
    <row r="790" spans="1:7" s="32" customFormat="1" x14ac:dyDescent="0.25">
      <c r="A790" s="315"/>
      <c r="B790" s="315"/>
      <c r="C790" s="326"/>
      <c r="D790" s="315"/>
      <c r="E790" s="321"/>
      <c r="F790" s="322"/>
      <c r="G790" s="315"/>
    </row>
    <row r="791" spans="1:7" s="32" customFormat="1" x14ac:dyDescent="0.25">
      <c r="A791" s="315"/>
      <c r="B791" s="315"/>
      <c r="C791" s="326"/>
      <c r="D791" s="315"/>
      <c r="E791" s="321"/>
      <c r="F791" s="322"/>
      <c r="G791" s="315"/>
    </row>
    <row r="792" spans="1:7" s="32" customFormat="1" x14ac:dyDescent="0.25">
      <c r="A792" s="315"/>
      <c r="B792" s="315"/>
      <c r="C792" s="326"/>
      <c r="D792" s="315"/>
      <c r="E792" s="321"/>
      <c r="F792" s="322"/>
      <c r="G792" s="315"/>
    </row>
    <row r="793" spans="1:7" s="32" customFormat="1" x14ac:dyDescent="0.25">
      <c r="A793" s="315"/>
      <c r="B793" s="315"/>
      <c r="C793" s="326"/>
      <c r="D793" s="315"/>
      <c r="E793" s="321"/>
      <c r="F793" s="322"/>
      <c r="G793" s="315"/>
    </row>
    <row r="794" spans="1:7" s="32" customFormat="1" x14ac:dyDescent="0.25">
      <c r="A794" s="315"/>
      <c r="B794" s="315"/>
      <c r="C794" s="326"/>
      <c r="D794" s="315"/>
      <c r="E794" s="321"/>
      <c r="F794" s="322"/>
      <c r="G794" s="315"/>
    </row>
    <row r="795" spans="1:7" s="32" customFormat="1" x14ac:dyDescent="0.25">
      <c r="A795" s="315"/>
      <c r="B795" s="315"/>
      <c r="C795" s="326"/>
      <c r="D795" s="315"/>
      <c r="E795" s="321"/>
      <c r="F795" s="322"/>
      <c r="G795" s="315"/>
    </row>
    <row r="796" spans="1:7" s="32" customFormat="1" x14ac:dyDescent="0.25">
      <c r="A796" s="315"/>
      <c r="B796" s="315"/>
      <c r="C796" s="326"/>
      <c r="D796" s="315"/>
      <c r="E796" s="321"/>
      <c r="F796" s="322"/>
      <c r="G796" s="315"/>
    </row>
    <row r="797" spans="1:7" s="32" customFormat="1" x14ac:dyDescent="0.25">
      <c r="A797" s="315"/>
      <c r="B797" s="315"/>
      <c r="C797" s="326"/>
      <c r="D797" s="315"/>
      <c r="E797" s="321"/>
      <c r="F797" s="322"/>
      <c r="G797" s="315"/>
    </row>
    <row r="798" spans="1:7" s="32" customFormat="1" x14ac:dyDescent="0.25">
      <c r="A798" s="315"/>
      <c r="B798" s="315"/>
      <c r="C798" s="326"/>
      <c r="D798" s="315"/>
      <c r="E798" s="321"/>
      <c r="F798" s="322"/>
      <c r="G798" s="315"/>
    </row>
    <row r="799" spans="1:7" s="32" customFormat="1" x14ac:dyDescent="0.25">
      <c r="A799" s="315"/>
      <c r="B799" s="315"/>
      <c r="C799" s="326"/>
      <c r="D799" s="315"/>
      <c r="E799" s="321"/>
      <c r="F799" s="322"/>
      <c r="G799" s="315"/>
    </row>
    <row r="800" spans="1:7" s="32" customFormat="1" x14ac:dyDescent="0.25">
      <c r="A800" s="315"/>
      <c r="B800" s="315"/>
      <c r="C800" s="326"/>
      <c r="D800" s="315"/>
      <c r="E800" s="321"/>
      <c r="F800" s="322"/>
      <c r="G800" s="315"/>
    </row>
    <row r="801" spans="1:7" s="32" customFormat="1" x14ac:dyDescent="0.25">
      <c r="A801" s="315"/>
      <c r="B801" s="315"/>
      <c r="C801" s="326"/>
      <c r="D801" s="315"/>
      <c r="E801" s="321"/>
      <c r="F801" s="322"/>
      <c r="G801" s="315"/>
    </row>
    <row r="802" spans="1:7" s="32" customFormat="1" x14ac:dyDescent="0.25">
      <c r="A802" s="315"/>
      <c r="B802" s="315"/>
      <c r="C802" s="326"/>
      <c r="D802" s="315"/>
      <c r="E802" s="321"/>
      <c r="F802" s="322"/>
      <c r="G802" s="315"/>
    </row>
    <row r="803" spans="1:7" s="32" customFormat="1" x14ac:dyDescent="0.25">
      <c r="A803" s="315"/>
      <c r="B803" s="315"/>
      <c r="C803" s="326"/>
      <c r="D803" s="315"/>
      <c r="E803" s="321"/>
      <c r="F803" s="322"/>
      <c r="G803" s="315"/>
    </row>
    <row r="804" spans="1:7" s="32" customFormat="1" x14ac:dyDescent="0.25">
      <c r="A804" s="315"/>
      <c r="B804" s="315"/>
      <c r="C804" s="326"/>
      <c r="D804" s="315"/>
      <c r="E804" s="321"/>
      <c r="F804" s="322"/>
      <c r="G804" s="315"/>
    </row>
    <row r="805" spans="1:7" s="32" customFormat="1" x14ac:dyDescent="0.25">
      <c r="A805" s="315"/>
      <c r="B805" s="315"/>
      <c r="C805" s="326"/>
      <c r="D805" s="315"/>
      <c r="E805" s="321"/>
      <c r="F805" s="322"/>
      <c r="G805" s="315"/>
    </row>
    <row r="806" spans="1:7" s="32" customFormat="1" x14ac:dyDescent="0.25">
      <c r="A806" s="315"/>
      <c r="B806" s="315"/>
      <c r="C806" s="326"/>
      <c r="D806" s="315"/>
      <c r="E806" s="321"/>
      <c r="F806" s="322"/>
      <c r="G806" s="315"/>
    </row>
    <row r="807" spans="1:7" s="32" customFormat="1" x14ac:dyDescent="0.25">
      <c r="A807" s="315"/>
      <c r="B807" s="315"/>
      <c r="C807" s="326"/>
      <c r="D807" s="315"/>
      <c r="E807" s="321"/>
      <c r="F807" s="322"/>
      <c r="G807" s="315"/>
    </row>
    <row r="808" spans="1:7" s="32" customFormat="1" x14ac:dyDescent="0.25">
      <c r="A808" s="315"/>
      <c r="B808" s="315"/>
      <c r="C808" s="326"/>
      <c r="D808" s="315"/>
      <c r="E808" s="321"/>
      <c r="F808" s="322"/>
      <c r="G808" s="315"/>
    </row>
    <row r="809" spans="1:7" s="32" customFormat="1" x14ac:dyDescent="0.25">
      <c r="A809" s="315"/>
      <c r="B809" s="315"/>
      <c r="C809" s="326"/>
      <c r="D809" s="315"/>
      <c r="E809" s="321"/>
      <c r="F809" s="322"/>
      <c r="G809" s="315"/>
    </row>
    <row r="810" spans="1:7" s="32" customFormat="1" x14ac:dyDescent="0.25">
      <c r="A810" s="315"/>
      <c r="B810" s="315"/>
      <c r="C810" s="326"/>
      <c r="D810" s="315"/>
      <c r="E810" s="321"/>
      <c r="F810" s="322"/>
      <c r="G810" s="315"/>
    </row>
    <row r="811" spans="1:7" s="32" customFormat="1" x14ac:dyDescent="0.25">
      <c r="A811" s="315"/>
      <c r="B811" s="315"/>
      <c r="C811" s="326"/>
      <c r="D811" s="315"/>
      <c r="E811" s="321"/>
      <c r="F811" s="322"/>
      <c r="G811" s="315"/>
    </row>
    <row r="812" spans="1:7" s="32" customFormat="1" x14ac:dyDescent="0.25">
      <c r="A812" s="315"/>
      <c r="B812" s="315"/>
      <c r="C812" s="326"/>
      <c r="D812" s="315"/>
      <c r="E812" s="321"/>
      <c r="F812" s="322"/>
      <c r="G812" s="315"/>
    </row>
    <row r="813" spans="1:7" s="32" customFormat="1" x14ac:dyDescent="0.25">
      <c r="A813" s="315"/>
      <c r="B813" s="315"/>
      <c r="C813" s="326"/>
      <c r="D813" s="315"/>
      <c r="E813" s="321"/>
      <c r="F813" s="322"/>
      <c r="G813" s="315"/>
    </row>
    <row r="814" spans="1:7" s="32" customFormat="1" x14ac:dyDescent="0.25">
      <c r="A814" s="315"/>
      <c r="B814" s="315"/>
      <c r="C814" s="326"/>
      <c r="D814" s="315"/>
      <c r="E814" s="321"/>
      <c r="F814" s="322"/>
      <c r="G814" s="315"/>
    </row>
    <row r="815" spans="1:7" s="32" customFormat="1" x14ac:dyDescent="0.25">
      <c r="A815" s="315"/>
      <c r="B815" s="315"/>
      <c r="C815" s="326"/>
      <c r="D815" s="315"/>
      <c r="E815" s="321"/>
      <c r="F815" s="322"/>
      <c r="G815" s="315"/>
    </row>
    <row r="816" spans="1:7" s="32" customFormat="1" x14ac:dyDescent="0.25">
      <c r="A816" s="315"/>
      <c r="B816" s="315"/>
      <c r="C816" s="326"/>
      <c r="D816" s="315"/>
      <c r="E816" s="321"/>
      <c r="F816" s="322"/>
      <c r="G816" s="315"/>
    </row>
    <row r="817" spans="1:7" s="32" customFormat="1" x14ac:dyDescent="0.25">
      <c r="A817" s="315"/>
      <c r="B817" s="315"/>
      <c r="C817" s="326"/>
      <c r="D817" s="315"/>
      <c r="E817" s="321"/>
      <c r="F817" s="322"/>
      <c r="G817" s="315"/>
    </row>
    <row r="818" spans="1:7" s="32" customFormat="1" x14ac:dyDescent="0.25">
      <c r="A818" s="315"/>
      <c r="B818" s="315"/>
      <c r="C818" s="326"/>
      <c r="D818" s="315"/>
      <c r="E818" s="321"/>
      <c r="F818" s="322"/>
      <c r="G818" s="315"/>
    </row>
    <row r="819" spans="1:7" s="32" customFormat="1" x14ac:dyDescent="0.25">
      <c r="A819" s="315"/>
      <c r="B819" s="315"/>
      <c r="C819" s="326"/>
      <c r="D819" s="315"/>
      <c r="E819" s="321"/>
      <c r="F819" s="322"/>
      <c r="G819" s="315"/>
    </row>
    <row r="820" spans="1:7" s="32" customFormat="1" x14ac:dyDescent="0.25">
      <c r="A820" s="315"/>
      <c r="B820" s="315"/>
      <c r="C820" s="326"/>
      <c r="D820" s="315"/>
      <c r="E820" s="321"/>
      <c r="F820" s="322"/>
      <c r="G820" s="315"/>
    </row>
    <row r="821" spans="1:7" s="32" customFormat="1" x14ac:dyDescent="0.25">
      <c r="A821" s="315"/>
      <c r="B821" s="315"/>
      <c r="C821" s="326"/>
      <c r="D821" s="315"/>
      <c r="E821" s="321"/>
      <c r="F821" s="322"/>
      <c r="G821" s="315"/>
    </row>
    <row r="822" spans="1:7" s="32" customFormat="1" x14ac:dyDescent="0.25">
      <c r="A822" s="315"/>
      <c r="B822" s="315"/>
      <c r="C822" s="326"/>
      <c r="D822" s="315"/>
      <c r="E822" s="321"/>
      <c r="F822" s="322"/>
      <c r="G822" s="315"/>
    </row>
    <row r="823" spans="1:7" s="32" customFormat="1" x14ac:dyDescent="0.25">
      <c r="A823" s="315"/>
      <c r="B823" s="315"/>
      <c r="C823" s="326"/>
      <c r="D823" s="315"/>
      <c r="E823" s="321"/>
      <c r="F823" s="322"/>
      <c r="G823" s="315"/>
    </row>
    <row r="824" spans="1:7" s="32" customFormat="1" x14ac:dyDescent="0.25">
      <c r="A824" s="315"/>
      <c r="B824" s="315"/>
      <c r="C824" s="326"/>
      <c r="D824" s="315"/>
      <c r="E824" s="321"/>
      <c r="F824" s="322"/>
      <c r="G824" s="315"/>
    </row>
    <row r="825" spans="1:7" s="32" customFormat="1" x14ac:dyDescent="0.25">
      <c r="A825" s="315"/>
      <c r="B825" s="315"/>
      <c r="C825" s="326"/>
      <c r="D825" s="315"/>
      <c r="E825" s="321"/>
      <c r="F825" s="322"/>
      <c r="G825" s="315"/>
    </row>
    <row r="826" spans="1:7" s="32" customFormat="1" x14ac:dyDescent="0.25">
      <c r="A826" s="315"/>
      <c r="B826" s="315"/>
      <c r="C826" s="326"/>
      <c r="D826" s="315"/>
      <c r="E826" s="321"/>
      <c r="F826" s="322"/>
      <c r="G826" s="315"/>
    </row>
    <row r="827" spans="1:7" s="32" customFormat="1" x14ac:dyDescent="0.25">
      <c r="A827" s="315"/>
      <c r="B827" s="315"/>
      <c r="C827" s="326"/>
      <c r="D827" s="315"/>
      <c r="E827" s="321"/>
      <c r="F827" s="322"/>
      <c r="G827" s="315"/>
    </row>
    <row r="828" spans="1:7" s="32" customFormat="1" x14ac:dyDescent="0.25">
      <c r="A828" s="315"/>
      <c r="B828" s="315"/>
      <c r="C828" s="326"/>
      <c r="D828" s="315"/>
      <c r="E828" s="321"/>
      <c r="F828" s="322"/>
      <c r="G828" s="315"/>
    </row>
    <row r="829" spans="1:7" s="32" customFormat="1" x14ac:dyDescent="0.25">
      <c r="A829" s="315"/>
      <c r="B829" s="315"/>
      <c r="C829" s="326"/>
      <c r="D829" s="315"/>
      <c r="E829" s="321"/>
      <c r="F829" s="322"/>
      <c r="G829" s="315"/>
    </row>
    <row r="830" spans="1:7" s="32" customFormat="1" x14ac:dyDescent="0.25">
      <c r="A830" s="315"/>
      <c r="B830" s="315"/>
      <c r="C830" s="326"/>
      <c r="D830" s="315"/>
      <c r="E830" s="321"/>
      <c r="F830" s="322"/>
      <c r="G830" s="315"/>
    </row>
    <row r="831" spans="1:7" s="32" customFormat="1" x14ac:dyDescent="0.25">
      <c r="A831" s="315"/>
      <c r="B831" s="315"/>
      <c r="C831" s="326"/>
      <c r="D831" s="315"/>
      <c r="E831" s="321"/>
      <c r="F831" s="322"/>
      <c r="G831" s="315"/>
    </row>
    <row r="832" spans="1:7" s="32" customFormat="1" x14ac:dyDescent="0.25">
      <c r="A832" s="315"/>
      <c r="B832" s="315"/>
      <c r="C832" s="326"/>
      <c r="D832" s="315"/>
      <c r="E832" s="321"/>
      <c r="F832" s="322"/>
      <c r="G832" s="315"/>
    </row>
    <row r="833" spans="1:7" s="32" customFormat="1" x14ac:dyDescent="0.25">
      <c r="A833" s="315"/>
      <c r="B833" s="315"/>
      <c r="C833" s="326"/>
      <c r="D833" s="315"/>
      <c r="E833" s="321"/>
      <c r="F833" s="322"/>
      <c r="G833" s="315"/>
    </row>
    <row r="834" spans="1:7" s="32" customFormat="1" x14ac:dyDescent="0.25">
      <c r="A834" s="315"/>
      <c r="B834" s="315"/>
      <c r="C834" s="326"/>
      <c r="D834" s="315"/>
      <c r="E834" s="321"/>
      <c r="F834" s="322"/>
      <c r="G834" s="315"/>
    </row>
    <row r="835" spans="1:7" s="32" customFormat="1" x14ac:dyDescent="0.25">
      <c r="A835" s="315"/>
      <c r="B835" s="315"/>
      <c r="C835" s="326"/>
      <c r="D835" s="315"/>
      <c r="E835" s="321"/>
      <c r="F835" s="322"/>
      <c r="G835" s="315"/>
    </row>
    <row r="836" spans="1:7" s="32" customFormat="1" x14ac:dyDescent="0.25">
      <c r="A836" s="315"/>
      <c r="B836" s="315"/>
      <c r="C836" s="326"/>
      <c r="D836" s="315"/>
      <c r="E836" s="321"/>
      <c r="F836" s="322"/>
      <c r="G836" s="315"/>
    </row>
    <row r="837" spans="1:7" s="32" customFormat="1" x14ac:dyDescent="0.25">
      <c r="A837" s="315"/>
      <c r="B837" s="315"/>
      <c r="C837" s="326"/>
      <c r="D837" s="315"/>
      <c r="E837" s="321"/>
      <c r="F837" s="322"/>
      <c r="G837" s="315"/>
    </row>
    <row r="838" spans="1:7" s="32" customFormat="1" x14ac:dyDescent="0.25">
      <c r="A838" s="315"/>
      <c r="B838" s="315"/>
      <c r="C838" s="326"/>
      <c r="D838" s="315"/>
      <c r="E838" s="321"/>
      <c r="F838" s="322"/>
      <c r="G838" s="315"/>
    </row>
    <row r="839" spans="1:7" s="32" customFormat="1" x14ac:dyDescent="0.25">
      <c r="A839" s="315"/>
      <c r="B839" s="315"/>
      <c r="C839" s="326"/>
      <c r="D839" s="315"/>
      <c r="E839" s="321"/>
      <c r="F839" s="322"/>
      <c r="G839" s="315"/>
    </row>
    <row r="840" spans="1:7" s="32" customFormat="1" x14ac:dyDescent="0.25">
      <c r="A840" s="315"/>
      <c r="B840" s="315"/>
      <c r="C840" s="326"/>
      <c r="D840" s="315"/>
      <c r="E840" s="321"/>
      <c r="F840" s="322"/>
      <c r="G840" s="315"/>
    </row>
    <row r="841" spans="1:7" s="32" customFormat="1" x14ac:dyDescent="0.25">
      <c r="A841" s="315"/>
      <c r="B841" s="315"/>
      <c r="C841" s="326"/>
      <c r="D841" s="315"/>
      <c r="E841" s="321"/>
      <c r="F841" s="322"/>
      <c r="G841" s="315"/>
    </row>
    <row r="842" spans="1:7" s="32" customFormat="1" x14ac:dyDescent="0.25">
      <c r="A842" s="315"/>
      <c r="B842" s="315"/>
      <c r="C842" s="326"/>
      <c r="D842" s="315"/>
      <c r="E842" s="321"/>
      <c r="F842" s="322"/>
      <c r="G842" s="315"/>
    </row>
    <row r="843" spans="1:7" s="32" customFormat="1" x14ac:dyDescent="0.25">
      <c r="A843" s="315"/>
      <c r="B843" s="315"/>
      <c r="C843" s="326"/>
      <c r="D843" s="315"/>
      <c r="E843" s="321"/>
      <c r="F843" s="322"/>
      <c r="G843" s="315"/>
    </row>
    <row r="844" spans="1:7" s="32" customFormat="1" x14ac:dyDescent="0.25">
      <c r="A844" s="315"/>
      <c r="B844" s="315"/>
      <c r="C844" s="326"/>
      <c r="D844" s="315"/>
      <c r="E844" s="321"/>
      <c r="F844" s="322"/>
      <c r="G844" s="315"/>
    </row>
    <row r="845" spans="1:7" s="32" customFormat="1" x14ac:dyDescent="0.25">
      <c r="A845" s="315"/>
      <c r="B845" s="315"/>
      <c r="C845" s="326"/>
      <c r="D845" s="315"/>
      <c r="E845" s="321"/>
      <c r="F845" s="322"/>
      <c r="G845" s="315"/>
    </row>
    <row r="846" spans="1:7" s="32" customFormat="1" x14ac:dyDescent="0.25">
      <c r="A846" s="315"/>
      <c r="B846" s="315"/>
      <c r="C846" s="326"/>
      <c r="D846" s="315"/>
      <c r="E846" s="321"/>
      <c r="F846" s="322"/>
      <c r="G846" s="315"/>
    </row>
    <row r="847" spans="1:7" s="32" customFormat="1" x14ac:dyDescent="0.25">
      <c r="A847" s="315"/>
      <c r="B847" s="315"/>
      <c r="C847" s="326"/>
      <c r="D847" s="315"/>
      <c r="E847" s="321"/>
      <c r="F847" s="322"/>
      <c r="G847" s="315"/>
    </row>
    <row r="848" spans="1:7" s="32" customFormat="1" x14ac:dyDescent="0.25">
      <c r="A848" s="315"/>
      <c r="B848" s="315"/>
      <c r="C848" s="326"/>
      <c r="D848" s="315"/>
      <c r="E848" s="321"/>
      <c r="F848" s="322"/>
      <c r="G848" s="315"/>
    </row>
    <row r="849" spans="1:7" s="32" customFormat="1" x14ac:dyDescent="0.25">
      <c r="A849" s="315"/>
      <c r="B849" s="315"/>
      <c r="C849" s="326"/>
      <c r="D849" s="315"/>
      <c r="E849" s="321"/>
      <c r="F849" s="322"/>
      <c r="G849" s="315"/>
    </row>
    <row r="850" spans="1:7" s="32" customFormat="1" x14ac:dyDescent="0.25">
      <c r="A850" s="315"/>
      <c r="B850" s="315"/>
      <c r="C850" s="326"/>
      <c r="D850" s="315"/>
      <c r="E850" s="321"/>
      <c r="F850" s="322"/>
      <c r="G850" s="315"/>
    </row>
    <row r="851" spans="1:7" s="32" customFormat="1" x14ac:dyDescent="0.25">
      <c r="A851" s="315"/>
      <c r="B851" s="315"/>
      <c r="C851" s="326"/>
      <c r="D851" s="315"/>
      <c r="E851" s="321"/>
      <c r="F851" s="322"/>
      <c r="G851" s="315"/>
    </row>
    <row r="852" spans="1:7" s="32" customFormat="1" x14ac:dyDescent="0.25">
      <c r="A852" s="315"/>
      <c r="B852" s="315"/>
      <c r="C852" s="326"/>
      <c r="D852" s="315"/>
      <c r="E852" s="321"/>
      <c r="F852" s="322"/>
      <c r="G852" s="315"/>
    </row>
    <row r="853" spans="1:7" s="32" customFormat="1" x14ac:dyDescent="0.25">
      <c r="A853" s="315"/>
      <c r="B853" s="315"/>
      <c r="C853" s="326"/>
      <c r="D853" s="315"/>
      <c r="E853" s="321"/>
      <c r="F853" s="322"/>
      <c r="G853" s="315"/>
    </row>
    <row r="854" spans="1:7" s="32" customFormat="1" x14ac:dyDescent="0.25">
      <c r="A854" s="315"/>
      <c r="B854" s="315"/>
      <c r="C854" s="326"/>
      <c r="D854" s="315"/>
      <c r="E854" s="321"/>
      <c r="F854" s="322"/>
      <c r="G854" s="315"/>
    </row>
    <row r="855" spans="1:7" s="32" customFormat="1" x14ac:dyDescent="0.25">
      <c r="A855" s="315"/>
      <c r="B855" s="315"/>
      <c r="C855" s="326"/>
      <c r="D855" s="315"/>
      <c r="E855" s="321"/>
      <c r="F855" s="322"/>
      <c r="G855" s="315"/>
    </row>
    <row r="856" spans="1:7" s="32" customFormat="1" x14ac:dyDescent="0.25">
      <c r="A856" s="315"/>
      <c r="B856" s="315"/>
      <c r="C856" s="326"/>
      <c r="D856" s="315"/>
      <c r="E856" s="321"/>
      <c r="F856" s="322"/>
      <c r="G856" s="315"/>
    </row>
    <row r="857" spans="1:7" s="32" customFormat="1" x14ac:dyDescent="0.25">
      <c r="A857" s="315"/>
      <c r="B857" s="315"/>
      <c r="C857" s="326"/>
      <c r="D857" s="315"/>
      <c r="E857" s="321"/>
      <c r="F857" s="322"/>
      <c r="G857" s="315"/>
    </row>
    <row r="858" spans="1:7" s="32" customFormat="1" x14ac:dyDescent="0.25">
      <c r="A858" s="315"/>
      <c r="B858" s="315"/>
      <c r="C858" s="326"/>
      <c r="D858" s="315"/>
      <c r="E858" s="321"/>
      <c r="F858" s="322"/>
      <c r="G858" s="315"/>
    </row>
    <row r="859" spans="1:7" s="32" customFormat="1" x14ac:dyDescent="0.25">
      <c r="A859" s="315"/>
      <c r="B859" s="315"/>
      <c r="C859" s="326"/>
      <c r="D859" s="315"/>
      <c r="E859" s="321"/>
      <c r="F859" s="322"/>
      <c r="G859" s="315"/>
    </row>
    <row r="860" spans="1:7" s="32" customFormat="1" x14ac:dyDescent="0.25">
      <c r="A860" s="315"/>
      <c r="B860" s="315"/>
      <c r="C860" s="326"/>
      <c r="D860" s="315"/>
      <c r="E860" s="321"/>
      <c r="F860" s="322"/>
      <c r="G860" s="315"/>
    </row>
    <row r="861" spans="1:7" s="32" customFormat="1" x14ac:dyDescent="0.25">
      <c r="A861" s="315"/>
      <c r="B861" s="315"/>
      <c r="C861" s="326"/>
      <c r="D861" s="315"/>
      <c r="E861" s="321"/>
      <c r="F861" s="322"/>
      <c r="G861" s="315"/>
    </row>
    <row r="862" spans="1:7" s="32" customFormat="1" x14ac:dyDescent="0.25">
      <c r="A862" s="315"/>
      <c r="B862" s="315"/>
      <c r="C862" s="326"/>
      <c r="D862" s="315"/>
      <c r="E862" s="321"/>
      <c r="F862" s="322"/>
      <c r="G862" s="315"/>
    </row>
    <row r="863" spans="1:7" s="32" customFormat="1" x14ac:dyDescent="0.25">
      <c r="A863" s="315"/>
      <c r="B863" s="315"/>
      <c r="C863" s="326"/>
      <c r="D863" s="315"/>
      <c r="E863" s="321"/>
      <c r="F863" s="322"/>
      <c r="G863" s="315"/>
    </row>
    <row r="864" spans="1:7" s="32" customFormat="1" x14ac:dyDescent="0.25">
      <c r="A864" s="315"/>
      <c r="B864" s="315"/>
      <c r="C864" s="326"/>
      <c r="D864" s="315"/>
      <c r="E864" s="321"/>
      <c r="F864" s="322"/>
      <c r="G864" s="315"/>
    </row>
    <row r="865" spans="1:7" s="32" customFormat="1" x14ac:dyDescent="0.25">
      <c r="A865" s="315"/>
      <c r="B865" s="315"/>
      <c r="C865" s="326"/>
      <c r="D865" s="315"/>
      <c r="E865" s="321"/>
      <c r="F865" s="322"/>
      <c r="G865" s="315"/>
    </row>
    <row r="866" spans="1:7" s="32" customFormat="1" x14ac:dyDescent="0.25">
      <c r="A866" s="315"/>
      <c r="B866" s="315"/>
      <c r="C866" s="326"/>
      <c r="D866" s="315"/>
      <c r="E866" s="321"/>
      <c r="F866" s="322"/>
      <c r="G866" s="315"/>
    </row>
    <row r="867" spans="1:7" s="32" customFormat="1" x14ac:dyDescent="0.25">
      <c r="A867" s="315"/>
      <c r="B867" s="315"/>
      <c r="C867" s="326"/>
      <c r="D867" s="315"/>
      <c r="E867" s="321"/>
      <c r="F867" s="322"/>
      <c r="G867" s="315"/>
    </row>
    <row r="868" spans="1:7" s="32" customFormat="1" x14ac:dyDescent="0.25">
      <c r="A868" s="315"/>
      <c r="B868" s="315"/>
      <c r="C868" s="326"/>
      <c r="D868" s="315"/>
      <c r="E868" s="321"/>
      <c r="F868" s="322"/>
      <c r="G868" s="315"/>
    </row>
    <row r="869" spans="1:7" s="32" customFormat="1" x14ac:dyDescent="0.25">
      <c r="A869" s="315"/>
      <c r="B869" s="315"/>
      <c r="C869" s="326"/>
      <c r="D869" s="315"/>
      <c r="E869" s="321"/>
      <c r="F869" s="322"/>
      <c r="G869" s="315"/>
    </row>
    <row r="870" spans="1:7" s="32" customFormat="1" x14ac:dyDescent="0.25">
      <c r="A870" s="315"/>
      <c r="B870" s="315"/>
      <c r="C870" s="326"/>
      <c r="D870" s="315"/>
      <c r="E870" s="321"/>
      <c r="F870" s="322"/>
      <c r="G870" s="315"/>
    </row>
    <row r="871" spans="1:7" s="32" customFormat="1" x14ac:dyDescent="0.25">
      <c r="A871" s="315"/>
      <c r="B871" s="315"/>
      <c r="C871" s="326"/>
      <c r="D871" s="315"/>
      <c r="E871" s="321"/>
      <c r="F871" s="322"/>
      <c r="G871" s="315"/>
    </row>
    <row r="872" spans="1:7" s="32" customFormat="1" x14ac:dyDescent="0.25">
      <c r="A872" s="315"/>
      <c r="B872" s="315"/>
      <c r="C872" s="326"/>
      <c r="D872" s="315"/>
      <c r="E872" s="321"/>
      <c r="F872" s="322"/>
      <c r="G872" s="315"/>
    </row>
    <row r="873" spans="1:7" s="32" customFormat="1" x14ac:dyDescent="0.25">
      <c r="A873" s="315"/>
      <c r="B873" s="315"/>
      <c r="C873" s="326"/>
      <c r="D873" s="315"/>
      <c r="E873" s="321"/>
      <c r="F873" s="322"/>
      <c r="G873" s="315"/>
    </row>
    <row r="874" spans="1:7" s="32" customFormat="1" x14ac:dyDescent="0.25">
      <c r="A874" s="315"/>
      <c r="B874" s="315"/>
      <c r="C874" s="326"/>
      <c r="D874" s="315"/>
      <c r="E874" s="321"/>
      <c r="F874" s="322"/>
      <c r="G874" s="315"/>
    </row>
    <row r="875" spans="1:7" s="32" customFormat="1" x14ac:dyDescent="0.25">
      <c r="A875" s="315"/>
      <c r="B875" s="315"/>
      <c r="C875" s="326"/>
      <c r="D875" s="315"/>
      <c r="E875" s="321"/>
      <c r="F875" s="322"/>
      <c r="G875" s="315"/>
    </row>
    <row r="876" spans="1:7" s="32" customFormat="1" x14ac:dyDescent="0.25">
      <c r="A876" s="315"/>
      <c r="B876" s="315"/>
      <c r="C876" s="326"/>
      <c r="D876" s="315"/>
      <c r="E876" s="321"/>
      <c r="F876" s="322"/>
      <c r="G876" s="315"/>
    </row>
    <row r="877" spans="1:7" s="32" customFormat="1" x14ac:dyDescent="0.25">
      <c r="A877" s="315"/>
      <c r="B877" s="315"/>
      <c r="C877" s="326"/>
      <c r="D877" s="315"/>
      <c r="E877" s="321"/>
      <c r="F877" s="322"/>
      <c r="G877" s="315"/>
    </row>
    <row r="878" spans="1:7" s="32" customFormat="1" x14ac:dyDescent="0.25">
      <c r="A878" s="315"/>
      <c r="B878" s="315"/>
      <c r="C878" s="326"/>
      <c r="D878" s="315"/>
      <c r="E878" s="321"/>
      <c r="F878" s="322"/>
      <c r="G878" s="315"/>
    </row>
    <row r="879" spans="1:7" s="32" customFormat="1" x14ac:dyDescent="0.25">
      <c r="A879" s="315"/>
      <c r="B879" s="315"/>
      <c r="C879" s="326"/>
      <c r="D879" s="315"/>
      <c r="E879" s="321"/>
      <c r="F879" s="322"/>
      <c r="G879" s="315"/>
    </row>
    <row r="880" spans="1:7" s="32" customFormat="1" x14ac:dyDescent="0.25">
      <c r="A880" s="315"/>
      <c r="B880" s="315"/>
      <c r="C880" s="326"/>
      <c r="D880" s="315"/>
      <c r="E880" s="321"/>
      <c r="F880" s="322"/>
      <c r="G880" s="315"/>
    </row>
    <row r="881" spans="1:7" s="32" customFormat="1" x14ac:dyDescent="0.25">
      <c r="A881" s="315"/>
      <c r="B881" s="315"/>
      <c r="C881" s="326"/>
      <c r="D881" s="315"/>
      <c r="E881" s="321"/>
      <c r="F881" s="322"/>
      <c r="G881" s="315"/>
    </row>
    <row r="882" spans="1:7" s="32" customFormat="1" x14ac:dyDescent="0.25">
      <c r="A882" s="315"/>
      <c r="B882" s="315"/>
      <c r="C882" s="326"/>
      <c r="D882" s="315"/>
      <c r="E882" s="321"/>
      <c r="F882" s="322"/>
      <c r="G882" s="315"/>
    </row>
    <row r="883" spans="1:7" s="32" customFormat="1" x14ac:dyDescent="0.25">
      <c r="A883" s="315"/>
      <c r="B883" s="315"/>
      <c r="C883" s="326"/>
      <c r="D883" s="315"/>
      <c r="E883" s="321"/>
      <c r="F883" s="322"/>
      <c r="G883" s="315"/>
    </row>
    <row r="884" spans="1:7" s="32" customFormat="1" x14ac:dyDescent="0.25">
      <c r="A884" s="315"/>
      <c r="B884" s="315"/>
      <c r="C884" s="326"/>
      <c r="D884" s="315"/>
      <c r="E884" s="321"/>
      <c r="F884" s="322"/>
      <c r="G884" s="315"/>
    </row>
    <row r="885" spans="1:7" s="32" customFormat="1" x14ac:dyDescent="0.25">
      <c r="A885" s="315"/>
      <c r="B885" s="315"/>
      <c r="C885" s="326"/>
      <c r="D885" s="315"/>
      <c r="E885" s="321"/>
      <c r="F885" s="322"/>
      <c r="G885" s="315"/>
    </row>
    <row r="886" spans="1:7" s="32" customFormat="1" x14ac:dyDescent="0.25">
      <c r="A886" s="315"/>
      <c r="B886" s="315"/>
      <c r="C886" s="326"/>
      <c r="D886" s="315"/>
      <c r="E886" s="321"/>
      <c r="F886" s="322"/>
      <c r="G886" s="315"/>
    </row>
    <row r="887" spans="1:7" s="32" customFormat="1" x14ac:dyDescent="0.25">
      <c r="A887" s="315"/>
      <c r="B887" s="315"/>
      <c r="C887" s="326"/>
      <c r="D887" s="315"/>
      <c r="E887" s="321"/>
      <c r="F887" s="322"/>
      <c r="G887" s="315"/>
    </row>
    <row r="888" spans="1:7" s="32" customFormat="1" x14ac:dyDescent="0.25">
      <c r="A888" s="315"/>
      <c r="B888" s="315"/>
      <c r="C888" s="326"/>
      <c r="D888" s="315"/>
      <c r="E888" s="321"/>
      <c r="F888" s="322"/>
      <c r="G888" s="315"/>
    </row>
    <row r="889" spans="1:7" s="32" customFormat="1" x14ac:dyDescent="0.25">
      <c r="A889" s="315"/>
      <c r="B889" s="315"/>
      <c r="C889" s="326"/>
      <c r="D889" s="315"/>
      <c r="E889" s="321"/>
      <c r="F889" s="322"/>
      <c r="G889" s="315"/>
    </row>
    <row r="890" spans="1:7" s="32" customFormat="1" x14ac:dyDescent="0.25">
      <c r="A890" s="315"/>
      <c r="B890" s="315"/>
      <c r="C890" s="326"/>
      <c r="D890" s="315"/>
      <c r="E890" s="321"/>
      <c r="F890" s="322"/>
      <c r="G890" s="315"/>
    </row>
    <row r="891" spans="1:7" s="32" customFormat="1" x14ac:dyDescent="0.25">
      <c r="A891" s="315"/>
      <c r="B891" s="315"/>
      <c r="C891" s="326"/>
      <c r="D891" s="315"/>
      <c r="E891" s="321"/>
      <c r="F891" s="322"/>
      <c r="G891" s="315"/>
    </row>
    <row r="892" spans="1:7" s="32" customFormat="1" x14ac:dyDescent="0.25">
      <c r="A892" s="315"/>
      <c r="B892" s="315"/>
      <c r="C892" s="326"/>
      <c r="D892" s="315"/>
      <c r="E892" s="321"/>
      <c r="F892" s="322"/>
      <c r="G892" s="315"/>
    </row>
    <row r="893" spans="1:7" s="32" customFormat="1" x14ac:dyDescent="0.25">
      <c r="A893" s="315"/>
      <c r="B893" s="315"/>
      <c r="C893" s="326"/>
      <c r="D893" s="315"/>
      <c r="E893" s="321"/>
      <c r="F893" s="322"/>
      <c r="G893" s="315"/>
    </row>
    <row r="894" spans="1:7" s="32" customFormat="1" x14ac:dyDescent="0.25">
      <c r="A894" s="315"/>
      <c r="B894" s="315"/>
      <c r="C894" s="326"/>
      <c r="D894" s="315"/>
      <c r="E894" s="321"/>
      <c r="F894" s="322"/>
      <c r="G894" s="315"/>
    </row>
    <row r="895" spans="1:7" s="32" customFormat="1" x14ac:dyDescent="0.25">
      <c r="A895" s="315"/>
      <c r="B895" s="315"/>
      <c r="C895" s="326"/>
      <c r="D895" s="315"/>
      <c r="E895" s="321"/>
      <c r="F895" s="322"/>
      <c r="G895" s="315"/>
    </row>
    <row r="896" spans="1:7" s="32" customFormat="1" x14ac:dyDescent="0.25">
      <c r="A896" s="315"/>
      <c r="B896" s="315"/>
      <c r="C896" s="326"/>
      <c r="D896" s="315"/>
      <c r="E896" s="321"/>
      <c r="F896" s="322"/>
      <c r="G896" s="315"/>
    </row>
    <row r="897" spans="1:7" s="32" customFormat="1" x14ac:dyDescent="0.25">
      <c r="A897" s="315"/>
      <c r="B897" s="315"/>
      <c r="C897" s="326"/>
      <c r="D897" s="315"/>
      <c r="E897" s="321"/>
      <c r="F897" s="322"/>
      <c r="G897" s="315"/>
    </row>
    <row r="898" spans="1:7" s="32" customFormat="1" x14ac:dyDescent="0.25">
      <c r="A898" s="315"/>
      <c r="B898" s="315"/>
      <c r="C898" s="326"/>
      <c r="D898" s="315"/>
      <c r="E898" s="321"/>
      <c r="F898" s="322"/>
      <c r="G898" s="315"/>
    </row>
    <row r="899" spans="1:7" s="32" customFormat="1" x14ac:dyDescent="0.25">
      <c r="A899" s="315"/>
      <c r="B899" s="315"/>
      <c r="C899" s="326"/>
      <c r="D899" s="315"/>
      <c r="E899" s="321"/>
      <c r="F899" s="322"/>
      <c r="G899" s="315"/>
    </row>
    <row r="900" spans="1:7" s="32" customFormat="1" x14ac:dyDescent="0.25">
      <c r="A900" s="315"/>
      <c r="B900" s="315"/>
      <c r="C900" s="326"/>
      <c r="D900" s="315"/>
      <c r="E900" s="321"/>
      <c r="F900" s="322"/>
      <c r="G900" s="315"/>
    </row>
    <row r="901" spans="1:7" s="32" customFormat="1" x14ac:dyDescent="0.25">
      <c r="A901" s="315"/>
      <c r="B901" s="315"/>
      <c r="C901" s="326"/>
      <c r="D901" s="315"/>
      <c r="E901" s="321"/>
      <c r="F901" s="322"/>
      <c r="G901" s="315"/>
    </row>
    <row r="902" spans="1:7" s="32" customFormat="1" x14ac:dyDescent="0.25">
      <c r="A902" s="315"/>
      <c r="B902" s="315"/>
      <c r="C902" s="326"/>
      <c r="D902" s="315"/>
      <c r="E902" s="321"/>
      <c r="F902" s="322"/>
      <c r="G902" s="315"/>
    </row>
    <row r="903" spans="1:7" s="32" customFormat="1" x14ac:dyDescent="0.25">
      <c r="A903" s="315"/>
      <c r="B903" s="315"/>
      <c r="C903" s="326"/>
      <c r="D903" s="315"/>
      <c r="E903" s="321"/>
      <c r="F903" s="322"/>
      <c r="G903" s="315"/>
    </row>
    <row r="904" spans="1:7" s="32" customFormat="1" x14ac:dyDescent="0.25">
      <c r="A904" s="315"/>
      <c r="B904" s="315"/>
      <c r="C904" s="326"/>
      <c r="D904" s="315"/>
      <c r="E904" s="321"/>
      <c r="F904" s="322"/>
      <c r="G904" s="315"/>
    </row>
    <row r="905" spans="1:7" s="32" customFormat="1" x14ac:dyDescent="0.25">
      <c r="A905" s="315"/>
      <c r="B905" s="315"/>
      <c r="C905" s="326"/>
      <c r="D905" s="315"/>
      <c r="E905" s="321"/>
      <c r="F905" s="322"/>
      <c r="G905" s="315"/>
    </row>
    <row r="906" spans="1:7" s="32" customFormat="1" x14ac:dyDescent="0.25">
      <c r="A906" s="315"/>
      <c r="B906" s="315"/>
      <c r="C906" s="326"/>
      <c r="D906" s="315"/>
      <c r="E906" s="321"/>
      <c r="F906" s="322"/>
      <c r="G906" s="315"/>
    </row>
    <row r="907" spans="1:7" s="32" customFormat="1" x14ac:dyDescent="0.25">
      <c r="A907" s="315"/>
      <c r="B907" s="315"/>
      <c r="C907" s="326"/>
      <c r="D907" s="315"/>
      <c r="E907" s="321"/>
      <c r="F907" s="322"/>
      <c r="G907" s="315"/>
    </row>
    <row r="908" spans="1:7" s="32" customFormat="1" x14ac:dyDescent="0.25">
      <c r="A908" s="315"/>
      <c r="B908" s="315"/>
      <c r="C908" s="326"/>
      <c r="D908" s="315"/>
      <c r="E908" s="321"/>
      <c r="F908" s="322"/>
      <c r="G908" s="315"/>
    </row>
    <row r="909" spans="1:7" s="32" customFormat="1" x14ac:dyDescent="0.25">
      <c r="A909" s="315"/>
      <c r="B909" s="315"/>
      <c r="C909" s="326"/>
      <c r="D909" s="315"/>
      <c r="E909" s="321"/>
      <c r="F909" s="322"/>
      <c r="G909" s="315"/>
    </row>
    <row r="910" spans="1:7" s="32" customFormat="1" x14ac:dyDescent="0.25">
      <c r="A910" s="315"/>
      <c r="B910" s="315"/>
      <c r="C910" s="326"/>
      <c r="D910" s="315"/>
      <c r="E910" s="321"/>
      <c r="F910" s="322"/>
      <c r="G910" s="315"/>
    </row>
    <row r="911" spans="1:7" s="32" customFormat="1" x14ac:dyDescent="0.25">
      <c r="A911" s="315"/>
      <c r="B911" s="315"/>
      <c r="C911" s="326"/>
      <c r="D911" s="315"/>
      <c r="E911" s="321"/>
      <c r="F911" s="322"/>
      <c r="G911" s="315"/>
    </row>
    <row r="912" spans="1:7" s="32" customFormat="1" x14ac:dyDescent="0.25">
      <c r="A912" s="315"/>
      <c r="B912" s="315"/>
      <c r="C912" s="326"/>
      <c r="D912" s="315"/>
      <c r="E912" s="321"/>
      <c r="F912" s="322"/>
      <c r="G912" s="315"/>
    </row>
    <row r="913" spans="1:7" s="32" customFormat="1" x14ac:dyDescent="0.25">
      <c r="A913" s="315"/>
      <c r="B913" s="315"/>
      <c r="C913" s="326"/>
      <c r="D913" s="315"/>
      <c r="E913" s="321"/>
      <c r="F913" s="322"/>
      <c r="G913" s="315"/>
    </row>
    <row r="914" spans="1:7" s="32" customFormat="1" x14ac:dyDescent="0.25">
      <c r="A914" s="315"/>
      <c r="B914" s="315"/>
      <c r="C914" s="326"/>
      <c r="D914" s="315"/>
      <c r="E914" s="321"/>
      <c r="F914" s="322"/>
      <c r="G914" s="315"/>
    </row>
    <row r="915" spans="1:7" s="32" customFormat="1" x14ac:dyDescent="0.25">
      <c r="A915" s="315"/>
      <c r="B915" s="315"/>
      <c r="C915" s="326"/>
      <c r="D915" s="315"/>
      <c r="E915" s="321"/>
      <c r="F915" s="322"/>
      <c r="G915" s="315"/>
    </row>
    <row r="916" spans="1:7" s="32" customFormat="1" x14ac:dyDescent="0.25">
      <c r="A916" s="315"/>
      <c r="B916" s="315"/>
      <c r="C916" s="326"/>
      <c r="D916" s="315"/>
      <c r="E916" s="321"/>
      <c r="F916" s="322"/>
      <c r="G916" s="315"/>
    </row>
    <row r="917" spans="1:7" s="32" customFormat="1" x14ac:dyDescent="0.25">
      <c r="A917" s="315"/>
      <c r="B917" s="315"/>
      <c r="C917" s="326"/>
      <c r="D917" s="315"/>
      <c r="E917" s="321"/>
      <c r="F917" s="322"/>
      <c r="G917" s="315"/>
    </row>
    <row r="918" spans="1:7" s="32" customFormat="1" x14ac:dyDescent="0.25">
      <c r="A918" s="315"/>
      <c r="B918" s="315"/>
      <c r="C918" s="326"/>
      <c r="D918" s="315"/>
      <c r="E918" s="321"/>
      <c r="F918" s="322"/>
      <c r="G918" s="315"/>
    </row>
    <row r="919" spans="1:7" s="32" customFormat="1" x14ac:dyDescent="0.25">
      <c r="A919" s="315"/>
      <c r="B919" s="315"/>
      <c r="C919" s="326"/>
      <c r="D919" s="315"/>
      <c r="E919" s="321"/>
      <c r="F919" s="322"/>
      <c r="G919" s="315"/>
    </row>
    <row r="920" spans="1:7" s="32" customFormat="1" x14ac:dyDescent="0.25">
      <c r="A920" s="315"/>
      <c r="B920" s="315"/>
      <c r="C920" s="326"/>
      <c r="D920" s="315"/>
      <c r="E920" s="321"/>
      <c r="F920" s="322"/>
      <c r="G920" s="315"/>
    </row>
    <row r="921" spans="1:7" s="32" customFormat="1" x14ac:dyDescent="0.25">
      <c r="A921" s="315"/>
      <c r="B921" s="315"/>
      <c r="C921" s="326"/>
      <c r="D921" s="315"/>
      <c r="E921" s="321"/>
      <c r="F921" s="322"/>
      <c r="G921" s="315"/>
    </row>
    <row r="922" spans="1:7" s="32" customFormat="1" x14ac:dyDescent="0.25">
      <c r="A922" s="315"/>
      <c r="B922" s="315"/>
      <c r="C922" s="326"/>
      <c r="D922" s="315"/>
      <c r="E922" s="321"/>
      <c r="F922" s="322"/>
      <c r="G922" s="315"/>
    </row>
    <row r="923" spans="1:7" s="32" customFormat="1" x14ac:dyDescent="0.25">
      <c r="A923" s="315"/>
      <c r="B923" s="315"/>
      <c r="C923" s="326"/>
      <c r="D923" s="315"/>
      <c r="E923" s="321"/>
      <c r="F923" s="322"/>
      <c r="G923" s="315"/>
    </row>
    <row r="924" spans="1:7" s="32" customFormat="1" x14ac:dyDescent="0.25">
      <c r="A924" s="315"/>
      <c r="B924" s="315"/>
      <c r="C924" s="326"/>
      <c r="D924" s="315"/>
      <c r="E924" s="321"/>
      <c r="F924" s="322"/>
      <c r="G924" s="315"/>
    </row>
    <row r="925" spans="1:7" s="32" customFormat="1" x14ac:dyDescent="0.25">
      <c r="A925" s="315"/>
      <c r="B925" s="315"/>
      <c r="C925" s="326"/>
      <c r="D925" s="315"/>
      <c r="E925" s="321"/>
      <c r="F925" s="322"/>
      <c r="G925" s="315"/>
    </row>
    <row r="926" spans="1:7" s="32" customFormat="1" x14ac:dyDescent="0.25">
      <c r="A926" s="315"/>
      <c r="B926" s="315"/>
      <c r="C926" s="326"/>
      <c r="D926" s="315"/>
      <c r="E926" s="321"/>
      <c r="F926" s="322"/>
      <c r="G926" s="315"/>
    </row>
    <row r="927" spans="1:7" s="32" customFormat="1" x14ac:dyDescent="0.25">
      <c r="A927" s="315"/>
      <c r="B927" s="315"/>
      <c r="C927" s="326"/>
      <c r="D927" s="315"/>
      <c r="E927" s="321"/>
      <c r="F927" s="322"/>
      <c r="G927" s="315"/>
    </row>
    <row r="928" spans="1:7" s="32" customFormat="1" x14ac:dyDescent="0.25">
      <c r="A928" s="315"/>
      <c r="B928" s="315"/>
      <c r="C928" s="326"/>
      <c r="D928" s="315"/>
      <c r="E928" s="321"/>
      <c r="F928" s="322"/>
      <c r="G928" s="315"/>
    </row>
    <row r="929" spans="1:7" s="32" customFormat="1" x14ac:dyDescent="0.25">
      <c r="A929" s="315"/>
      <c r="B929" s="315"/>
      <c r="C929" s="326"/>
      <c r="D929" s="315"/>
      <c r="E929" s="321"/>
      <c r="F929" s="322"/>
      <c r="G929" s="315"/>
    </row>
    <row r="930" spans="1:7" s="32" customFormat="1" x14ac:dyDescent="0.25">
      <c r="A930" s="315"/>
      <c r="B930" s="315"/>
      <c r="C930" s="326"/>
      <c r="D930" s="315"/>
      <c r="E930" s="321"/>
      <c r="F930" s="322"/>
      <c r="G930" s="315"/>
    </row>
    <row r="931" spans="1:7" s="32" customFormat="1" x14ac:dyDescent="0.25">
      <c r="A931" s="315"/>
      <c r="B931" s="315"/>
      <c r="C931" s="326"/>
      <c r="D931" s="315"/>
      <c r="E931" s="321"/>
      <c r="F931" s="322"/>
      <c r="G931" s="315"/>
    </row>
    <row r="932" spans="1:7" s="32" customFormat="1" x14ac:dyDescent="0.25">
      <c r="A932" s="315"/>
      <c r="B932" s="315"/>
      <c r="C932" s="326"/>
      <c r="D932" s="315"/>
      <c r="E932" s="321"/>
      <c r="F932" s="322"/>
      <c r="G932" s="315"/>
    </row>
    <row r="933" spans="1:7" s="32" customFormat="1" x14ac:dyDescent="0.25">
      <c r="A933" s="315"/>
      <c r="B933" s="315"/>
      <c r="C933" s="326"/>
      <c r="D933" s="315"/>
      <c r="E933" s="321"/>
      <c r="F933" s="322"/>
      <c r="G933" s="315"/>
    </row>
    <row r="934" spans="1:7" s="32" customFormat="1" x14ac:dyDescent="0.25">
      <c r="A934" s="315"/>
      <c r="B934" s="315"/>
      <c r="C934" s="326"/>
      <c r="D934" s="315"/>
      <c r="E934" s="321"/>
      <c r="F934" s="322"/>
      <c r="G934" s="315"/>
    </row>
    <row r="935" spans="1:7" s="32" customFormat="1" x14ac:dyDescent="0.25">
      <c r="A935" s="315"/>
      <c r="B935" s="315"/>
      <c r="C935" s="326"/>
      <c r="D935" s="315"/>
      <c r="E935" s="321"/>
      <c r="F935" s="322"/>
      <c r="G935" s="315"/>
    </row>
    <row r="936" spans="1:7" s="32" customFormat="1" x14ac:dyDescent="0.25">
      <c r="A936" s="315"/>
      <c r="B936" s="315"/>
      <c r="C936" s="326"/>
      <c r="D936" s="315"/>
      <c r="E936" s="321"/>
      <c r="F936" s="322"/>
      <c r="G936" s="315"/>
    </row>
    <row r="937" spans="1:7" s="32" customFormat="1" x14ac:dyDescent="0.25">
      <c r="A937" s="315"/>
      <c r="B937" s="315"/>
      <c r="C937" s="326"/>
      <c r="D937" s="315"/>
      <c r="E937" s="321"/>
      <c r="F937" s="322"/>
      <c r="G937" s="315"/>
    </row>
    <row r="938" spans="1:7" s="32" customFormat="1" x14ac:dyDescent="0.25">
      <c r="A938" s="315"/>
      <c r="B938" s="315"/>
      <c r="C938" s="326"/>
      <c r="D938" s="315"/>
      <c r="E938" s="321"/>
      <c r="F938" s="322"/>
      <c r="G938" s="315"/>
    </row>
    <row r="939" spans="1:7" s="32" customFormat="1" x14ac:dyDescent="0.25">
      <c r="A939" s="315"/>
      <c r="B939" s="315"/>
      <c r="C939" s="326"/>
      <c r="D939" s="315"/>
      <c r="E939" s="321"/>
      <c r="F939" s="322"/>
      <c r="G939" s="315"/>
    </row>
    <row r="940" spans="1:7" s="32" customFormat="1" x14ac:dyDescent="0.25">
      <c r="A940" s="315"/>
      <c r="B940" s="315"/>
      <c r="C940" s="326"/>
      <c r="D940" s="315"/>
      <c r="E940" s="321"/>
      <c r="F940" s="322"/>
      <c r="G940" s="315"/>
    </row>
    <row r="941" spans="1:7" s="32" customFormat="1" x14ac:dyDescent="0.25">
      <c r="A941" s="315"/>
      <c r="B941" s="315"/>
      <c r="C941" s="326"/>
      <c r="D941" s="315"/>
      <c r="E941" s="321"/>
      <c r="F941" s="322"/>
      <c r="G941" s="315"/>
    </row>
    <row r="942" spans="1:7" s="32" customFormat="1" x14ac:dyDescent="0.25">
      <c r="A942" s="315"/>
      <c r="B942" s="315"/>
      <c r="C942" s="326"/>
      <c r="D942" s="315"/>
      <c r="E942" s="321"/>
      <c r="F942" s="322"/>
      <c r="G942" s="315"/>
    </row>
    <row r="943" spans="1:7" s="32" customFormat="1" x14ac:dyDescent="0.25">
      <c r="A943" s="315"/>
      <c r="B943" s="315"/>
      <c r="C943" s="326"/>
      <c r="D943" s="315"/>
      <c r="E943" s="321"/>
      <c r="F943" s="322"/>
      <c r="G943" s="315"/>
    </row>
    <row r="944" spans="1:7" s="32" customFormat="1" x14ac:dyDescent="0.25">
      <c r="A944" s="315"/>
      <c r="B944" s="315"/>
      <c r="C944" s="326"/>
      <c r="D944" s="315"/>
      <c r="E944" s="321"/>
      <c r="F944" s="322"/>
      <c r="G944" s="315"/>
    </row>
    <row r="945" spans="1:7" s="32" customFormat="1" x14ac:dyDescent="0.25">
      <c r="A945" s="315"/>
      <c r="B945" s="315"/>
      <c r="C945" s="326"/>
      <c r="D945" s="315"/>
      <c r="E945" s="321"/>
      <c r="F945" s="322"/>
      <c r="G945" s="315"/>
    </row>
    <row r="946" spans="1:7" s="32" customFormat="1" x14ac:dyDescent="0.25">
      <c r="A946" s="315"/>
      <c r="B946" s="315"/>
      <c r="C946" s="326"/>
      <c r="D946" s="315"/>
      <c r="E946" s="321"/>
      <c r="F946" s="322"/>
      <c r="G946" s="315"/>
    </row>
    <row r="947" spans="1:7" s="32" customFormat="1" x14ac:dyDescent="0.25">
      <c r="A947" s="315"/>
      <c r="B947" s="315"/>
      <c r="C947" s="326"/>
      <c r="D947" s="315"/>
      <c r="E947" s="321"/>
      <c r="F947" s="322"/>
      <c r="G947" s="315"/>
    </row>
    <row r="948" spans="1:7" s="32" customFormat="1" x14ac:dyDescent="0.25">
      <c r="A948" s="315"/>
      <c r="B948" s="315"/>
      <c r="C948" s="326"/>
      <c r="D948" s="315"/>
      <c r="E948" s="321"/>
      <c r="F948" s="322"/>
      <c r="G948" s="315"/>
    </row>
    <row r="949" spans="1:7" s="32" customFormat="1" x14ac:dyDescent="0.25">
      <c r="A949" s="315"/>
      <c r="B949" s="315"/>
      <c r="C949" s="326"/>
      <c r="D949" s="315"/>
      <c r="E949" s="321"/>
      <c r="F949" s="322"/>
      <c r="G949" s="315"/>
    </row>
    <row r="950" spans="1:7" s="32" customFormat="1" x14ac:dyDescent="0.25">
      <c r="A950" s="315"/>
      <c r="B950" s="315"/>
      <c r="C950" s="326"/>
      <c r="D950" s="315"/>
      <c r="E950" s="321"/>
      <c r="F950" s="322"/>
      <c r="G950" s="315"/>
    </row>
    <row r="951" spans="1:7" s="32" customFormat="1" x14ac:dyDescent="0.25">
      <c r="A951" s="315"/>
      <c r="B951" s="315"/>
      <c r="C951" s="326"/>
      <c r="D951" s="315"/>
      <c r="E951" s="321"/>
      <c r="F951" s="322"/>
      <c r="G951" s="315"/>
    </row>
    <row r="952" spans="1:7" s="32" customFormat="1" x14ac:dyDescent="0.25">
      <c r="A952" s="315"/>
      <c r="B952" s="315"/>
      <c r="C952" s="326"/>
      <c r="D952" s="315"/>
      <c r="E952" s="321"/>
      <c r="F952" s="322"/>
      <c r="G952" s="315"/>
    </row>
    <row r="953" spans="1:7" s="32" customFormat="1" x14ac:dyDescent="0.25">
      <c r="A953" s="315"/>
      <c r="B953" s="315"/>
      <c r="C953" s="326"/>
      <c r="D953" s="315"/>
      <c r="E953" s="321"/>
      <c r="F953" s="322"/>
      <c r="G953" s="315"/>
    </row>
    <row r="954" spans="1:7" s="32" customFormat="1" x14ac:dyDescent="0.25">
      <c r="A954" s="315"/>
      <c r="B954" s="315"/>
      <c r="C954" s="326"/>
      <c r="D954" s="315"/>
      <c r="E954" s="321"/>
      <c r="F954" s="322"/>
      <c r="G954" s="315"/>
    </row>
    <row r="955" spans="1:7" s="32" customFormat="1" x14ac:dyDescent="0.25">
      <c r="A955" s="315"/>
      <c r="B955" s="315"/>
      <c r="C955" s="326"/>
      <c r="D955" s="315"/>
      <c r="E955" s="321"/>
      <c r="F955" s="322"/>
      <c r="G955" s="315"/>
    </row>
    <row r="956" spans="1:7" s="32" customFormat="1" x14ac:dyDescent="0.25">
      <c r="A956" s="315"/>
      <c r="B956" s="315"/>
      <c r="C956" s="326"/>
      <c r="D956" s="315"/>
      <c r="E956" s="321"/>
      <c r="F956" s="322"/>
      <c r="G956" s="315"/>
    </row>
    <row r="957" spans="1:7" s="32" customFormat="1" x14ac:dyDescent="0.25">
      <c r="A957" s="315"/>
      <c r="B957" s="315"/>
      <c r="C957" s="326"/>
      <c r="D957" s="315"/>
      <c r="E957" s="321"/>
      <c r="F957" s="322"/>
      <c r="G957" s="315"/>
    </row>
    <row r="958" spans="1:7" s="32" customFormat="1" x14ac:dyDescent="0.25">
      <c r="A958" s="315"/>
      <c r="B958" s="315"/>
      <c r="C958" s="326"/>
      <c r="D958" s="315"/>
      <c r="E958" s="321"/>
      <c r="F958" s="322"/>
      <c r="G958" s="315"/>
    </row>
    <row r="959" spans="1:7" s="32" customFormat="1" x14ac:dyDescent="0.25">
      <c r="A959" s="315"/>
      <c r="B959" s="315"/>
      <c r="C959" s="326"/>
      <c r="D959" s="315"/>
      <c r="E959" s="321"/>
      <c r="F959" s="322"/>
      <c r="G959" s="315"/>
    </row>
    <row r="960" spans="1:7" s="32" customFormat="1" x14ac:dyDescent="0.25">
      <c r="A960" s="315"/>
      <c r="B960" s="315"/>
      <c r="C960" s="326"/>
      <c r="D960" s="315"/>
      <c r="E960" s="321"/>
      <c r="F960" s="322"/>
      <c r="G960" s="315"/>
    </row>
    <row r="961" spans="1:7" s="32" customFormat="1" x14ac:dyDescent="0.25">
      <c r="A961" s="315"/>
      <c r="B961" s="315"/>
      <c r="C961" s="326"/>
      <c r="D961" s="315"/>
      <c r="E961" s="321"/>
      <c r="F961" s="322"/>
      <c r="G961" s="315"/>
    </row>
    <row r="962" spans="1:7" s="32" customFormat="1" x14ac:dyDescent="0.25">
      <c r="A962" s="315"/>
      <c r="B962" s="315"/>
      <c r="C962" s="326"/>
      <c r="D962" s="315"/>
      <c r="E962" s="321"/>
      <c r="F962" s="322"/>
      <c r="G962" s="315"/>
    </row>
    <row r="963" spans="1:7" s="32" customFormat="1" x14ac:dyDescent="0.25">
      <c r="A963" s="315"/>
      <c r="B963" s="315"/>
      <c r="C963" s="326"/>
      <c r="D963" s="315"/>
      <c r="E963" s="321"/>
      <c r="F963" s="322"/>
      <c r="G963" s="315"/>
    </row>
    <row r="964" spans="1:7" s="32" customFormat="1" x14ac:dyDescent="0.25">
      <c r="A964" s="315"/>
      <c r="B964" s="315"/>
      <c r="C964" s="326"/>
      <c r="D964" s="315"/>
      <c r="E964" s="321"/>
      <c r="F964" s="322"/>
      <c r="G964" s="315"/>
    </row>
    <row r="965" spans="1:7" s="32" customFormat="1" x14ac:dyDescent="0.25">
      <c r="A965" s="315"/>
      <c r="B965" s="315"/>
      <c r="C965" s="326"/>
      <c r="D965" s="315"/>
      <c r="E965" s="321"/>
      <c r="F965" s="322"/>
      <c r="G965" s="315"/>
    </row>
    <row r="966" spans="1:7" s="32" customFormat="1" x14ac:dyDescent="0.25">
      <c r="A966" s="315"/>
      <c r="B966" s="315"/>
      <c r="C966" s="326"/>
      <c r="D966" s="315"/>
      <c r="E966" s="321"/>
      <c r="F966" s="322"/>
      <c r="G966" s="315"/>
    </row>
    <row r="967" spans="1:7" s="32" customFormat="1" x14ac:dyDescent="0.25">
      <c r="A967" s="315"/>
      <c r="B967" s="315"/>
      <c r="C967" s="326"/>
      <c r="D967" s="315"/>
      <c r="E967" s="321"/>
      <c r="F967" s="322"/>
      <c r="G967" s="315"/>
    </row>
    <row r="968" spans="1:7" s="32" customFormat="1" x14ac:dyDescent="0.25">
      <c r="A968" s="315"/>
      <c r="B968" s="315"/>
      <c r="C968" s="326"/>
      <c r="D968" s="315"/>
      <c r="E968" s="321"/>
      <c r="F968" s="322"/>
      <c r="G968" s="315"/>
    </row>
    <row r="969" spans="1:7" s="32" customFormat="1" x14ac:dyDescent="0.25">
      <c r="A969" s="315"/>
      <c r="B969" s="315"/>
      <c r="C969" s="326"/>
      <c r="D969" s="315"/>
      <c r="E969" s="321"/>
      <c r="F969" s="322"/>
      <c r="G969" s="315"/>
    </row>
    <row r="970" spans="1:7" s="32" customFormat="1" x14ac:dyDescent="0.25">
      <c r="A970" s="315"/>
      <c r="B970" s="315"/>
      <c r="C970" s="326"/>
      <c r="D970" s="315"/>
      <c r="E970" s="321"/>
      <c r="F970" s="322"/>
      <c r="G970" s="315"/>
    </row>
    <row r="971" spans="1:7" s="32" customFormat="1" x14ac:dyDescent="0.25">
      <c r="A971" s="315"/>
      <c r="B971" s="315"/>
      <c r="C971" s="326"/>
      <c r="D971" s="315"/>
      <c r="E971" s="321"/>
      <c r="F971" s="322"/>
      <c r="G971" s="315"/>
    </row>
    <row r="972" spans="1:7" s="32" customFormat="1" x14ac:dyDescent="0.25">
      <c r="A972" s="315"/>
      <c r="B972" s="315"/>
      <c r="C972" s="326"/>
      <c r="D972" s="315"/>
      <c r="E972" s="321"/>
      <c r="F972" s="322"/>
      <c r="G972" s="315"/>
    </row>
    <row r="973" spans="1:7" s="32" customFormat="1" x14ac:dyDescent="0.25">
      <c r="A973" s="315"/>
      <c r="B973" s="315"/>
      <c r="C973" s="326"/>
      <c r="D973" s="315"/>
      <c r="E973" s="321"/>
      <c r="F973" s="322"/>
      <c r="G973" s="315"/>
    </row>
    <row r="974" spans="1:7" s="32" customFormat="1" x14ac:dyDescent="0.25">
      <c r="A974" s="315"/>
      <c r="B974" s="315"/>
      <c r="C974" s="326"/>
      <c r="D974" s="315"/>
      <c r="E974" s="321"/>
      <c r="F974" s="322"/>
      <c r="G974" s="315"/>
    </row>
    <row r="975" spans="1:7" s="32" customFormat="1" x14ac:dyDescent="0.25">
      <c r="A975" s="315"/>
      <c r="B975" s="315"/>
      <c r="C975" s="326"/>
      <c r="D975" s="315"/>
      <c r="E975" s="321"/>
      <c r="F975" s="322"/>
      <c r="G975" s="315"/>
    </row>
    <row r="976" spans="1:7" s="32" customFormat="1" x14ac:dyDescent="0.25">
      <c r="A976" s="315"/>
      <c r="B976" s="315"/>
      <c r="C976" s="326"/>
      <c r="D976" s="315"/>
      <c r="E976" s="321"/>
      <c r="F976" s="322"/>
      <c r="G976" s="315"/>
    </row>
    <row r="977" spans="1:7" s="32" customFormat="1" x14ac:dyDescent="0.25">
      <c r="A977" s="315"/>
      <c r="B977" s="315"/>
      <c r="C977" s="326"/>
      <c r="D977" s="315"/>
      <c r="E977" s="321"/>
      <c r="F977" s="322"/>
      <c r="G977" s="315"/>
    </row>
    <row r="978" spans="1:7" s="32" customFormat="1" x14ac:dyDescent="0.25">
      <c r="A978" s="315"/>
      <c r="B978" s="315"/>
      <c r="C978" s="326"/>
      <c r="D978" s="315"/>
      <c r="E978" s="321"/>
      <c r="F978" s="322"/>
      <c r="G978" s="315"/>
    </row>
    <row r="979" spans="1:7" s="32" customFormat="1" x14ac:dyDescent="0.25">
      <c r="A979" s="315"/>
      <c r="B979" s="315"/>
      <c r="C979" s="326"/>
      <c r="D979" s="315"/>
      <c r="E979" s="321"/>
      <c r="F979" s="322"/>
      <c r="G979" s="315"/>
    </row>
    <row r="980" spans="1:7" s="32" customFormat="1" x14ac:dyDescent="0.25">
      <c r="A980" s="315"/>
      <c r="B980" s="315"/>
      <c r="C980" s="326"/>
      <c r="D980" s="315"/>
      <c r="E980" s="321"/>
      <c r="F980" s="322"/>
      <c r="G980" s="315"/>
    </row>
    <row r="981" spans="1:7" s="32" customFormat="1" x14ac:dyDescent="0.25">
      <c r="A981" s="315"/>
      <c r="B981" s="315"/>
      <c r="C981" s="326"/>
      <c r="D981" s="315"/>
      <c r="E981" s="321"/>
      <c r="F981" s="322"/>
      <c r="G981" s="315"/>
    </row>
    <row r="982" spans="1:7" s="32" customFormat="1" x14ac:dyDescent="0.25">
      <c r="A982" s="315"/>
      <c r="B982" s="315"/>
      <c r="C982" s="326"/>
      <c r="D982" s="315"/>
      <c r="E982" s="321"/>
      <c r="F982" s="322"/>
      <c r="G982" s="315"/>
    </row>
    <row r="983" spans="1:7" s="32" customFormat="1" x14ac:dyDescent="0.25">
      <c r="A983" s="315"/>
      <c r="B983" s="315"/>
      <c r="C983" s="326"/>
      <c r="D983" s="315"/>
      <c r="E983" s="321"/>
      <c r="F983" s="322"/>
      <c r="G983" s="315"/>
    </row>
    <row r="984" spans="1:7" s="32" customFormat="1" x14ac:dyDescent="0.25">
      <c r="A984" s="315"/>
      <c r="B984" s="315"/>
      <c r="C984" s="326"/>
      <c r="D984" s="315"/>
      <c r="E984" s="321"/>
      <c r="F984" s="322"/>
      <c r="G984" s="315"/>
    </row>
    <row r="985" spans="1:7" s="32" customFormat="1" x14ac:dyDescent="0.25">
      <c r="A985" s="315"/>
      <c r="B985" s="315"/>
      <c r="C985" s="326"/>
      <c r="D985" s="315"/>
      <c r="E985" s="321"/>
      <c r="F985" s="322"/>
      <c r="G985" s="315"/>
    </row>
    <row r="986" spans="1:7" s="32" customFormat="1" x14ac:dyDescent="0.25">
      <c r="A986" s="315"/>
      <c r="B986" s="315"/>
      <c r="C986" s="326"/>
      <c r="D986" s="315"/>
      <c r="E986" s="321"/>
      <c r="F986" s="322"/>
      <c r="G986" s="315"/>
    </row>
    <row r="987" spans="1:7" s="32" customFormat="1" x14ac:dyDescent="0.25">
      <c r="A987" s="315"/>
      <c r="B987" s="315"/>
      <c r="C987" s="326"/>
      <c r="D987" s="315"/>
      <c r="E987" s="321"/>
      <c r="F987" s="322"/>
      <c r="G987" s="315"/>
    </row>
    <row r="988" spans="1:7" s="32" customFormat="1" x14ac:dyDescent="0.25">
      <c r="A988" s="315"/>
      <c r="B988" s="315"/>
      <c r="C988" s="326"/>
      <c r="D988" s="315"/>
      <c r="E988" s="321"/>
      <c r="F988" s="322"/>
      <c r="G988" s="315"/>
    </row>
    <row r="989" spans="1:7" s="32" customFormat="1" x14ac:dyDescent="0.25">
      <c r="A989" s="315"/>
      <c r="B989" s="315"/>
      <c r="C989" s="326"/>
      <c r="D989" s="315"/>
      <c r="E989" s="321"/>
      <c r="F989" s="322"/>
      <c r="G989" s="315"/>
    </row>
    <row r="990" spans="1:7" s="32" customFormat="1" x14ac:dyDescent="0.25">
      <c r="A990" s="315"/>
      <c r="B990" s="315"/>
      <c r="C990" s="326"/>
      <c r="D990" s="315"/>
      <c r="E990" s="321"/>
      <c r="F990" s="322"/>
      <c r="G990" s="315"/>
    </row>
    <row r="991" spans="1:7" s="32" customFormat="1" x14ac:dyDescent="0.25">
      <c r="A991" s="315"/>
      <c r="B991" s="315"/>
      <c r="C991" s="326"/>
      <c r="D991" s="315"/>
      <c r="E991" s="321"/>
      <c r="F991" s="322"/>
      <c r="G991" s="315"/>
    </row>
    <row r="992" spans="1:7" s="32" customFormat="1" x14ac:dyDescent="0.25">
      <c r="A992" s="315"/>
      <c r="B992" s="315"/>
      <c r="C992" s="326"/>
      <c r="D992" s="315"/>
      <c r="E992" s="321"/>
      <c r="F992" s="322"/>
      <c r="G992" s="315"/>
    </row>
    <row r="993" spans="1:7" s="32" customFormat="1" x14ac:dyDescent="0.25">
      <c r="A993" s="315"/>
      <c r="B993" s="315"/>
      <c r="C993" s="326"/>
      <c r="D993" s="315"/>
      <c r="E993" s="321"/>
      <c r="F993" s="322"/>
      <c r="G993" s="315"/>
    </row>
    <row r="994" spans="1:7" s="32" customFormat="1" x14ac:dyDescent="0.25">
      <c r="A994" s="315"/>
      <c r="B994" s="315"/>
      <c r="C994" s="326"/>
      <c r="D994" s="315"/>
      <c r="E994" s="321"/>
      <c r="F994" s="322"/>
      <c r="G994" s="315"/>
    </row>
    <row r="995" spans="1:7" s="32" customFormat="1" x14ac:dyDescent="0.25">
      <c r="A995" s="315"/>
      <c r="B995" s="315"/>
      <c r="C995" s="326"/>
      <c r="D995" s="315"/>
      <c r="E995" s="321"/>
      <c r="F995" s="322"/>
      <c r="G995" s="315"/>
    </row>
    <row r="996" spans="1:7" s="32" customFormat="1" x14ac:dyDescent="0.25">
      <c r="A996" s="315"/>
      <c r="B996" s="315"/>
      <c r="C996" s="326"/>
      <c r="D996" s="315"/>
      <c r="E996" s="321"/>
      <c r="F996" s="322"/>
      <c r="G996" s="315"/>
    </row>
    <row r="997" spans="1:7" s="32" customFormat="1" x14ac:dyDescent="0.25">
      <c r="A997" s="315"/>
      <c r="B997" s="315"/>
      <c r="C997" s="326"/>
      <c r="D997" s="315"/>
      <c r="E997" s="321"/>
      <c r="F997" s="322"/>
      <c r="G997" s="315"/>
    </row>
    <row r="998" spans="1:7" s="32" customFormat="1" x14ac:dyDescent="0.25">
      <c r="A998" s="315"/>
      <c r="B998" s="315"/>
      <c r="C998" s="326"/>
      <c r="D998" s="315"/>
      <c r="E998" s="321"/>
      <c r="F998" s="322"/>
      <c r="G998" s="315"/>
    </row>
    <row r="999" spans="1:7" s="32" customFormat="1" x14ac:dyDescent="0.25">
      <c r="A999" s="315"/>
      <c r="B999" s="315"/>
      <c r="C999" s="326"/>
      <c r="D999" s="315"/>
      <c r="E999" s="321"/>
      <c r="F999" s="322"/>
      <c r="G999" s="315"/>
    </row>
    <row r="1000" spans="1:7" s="32" customFormat="1" x14ac:dyDescent="0.25">
      <c r="A1000" s="315"/>
      <c r="B1000" s="315"/>
      <c r="C1000" s="326"/>
      <c r="D1000" s="315"/>
      <c r="E1000" s="321"/>
      <c r="F1000" s="322"/>
      <c r="G1000" s="315"/>
    </row>
    <row r="1001" spans="1:7" s="32" customFormat="1" x14ac:dyDescent="0.25">
      <c r="A1001" s="315"/>
      <c r="B1001" s="315"/>
      <c r="C1001" s="326"/>
      <c r="D1001" s="315"/>
      <c r="E1001" s="321"/>
      <c r="F1001" s="322"/>
      <c r="G1001" s="315"/>
    </row>
    <row r="1002" spans="1:7" s="32" customFormat="1" x14ac:dyDescent="0.25">
      <c r="A1002" s="315"/>
      <c r="B1002" s="315"/>
      <c r="C1002" s="326"/>
      <c r="D1002" s="315"/>
      <c r="E1002" s="321"/>
      <c r="F1002" s="322"/>
      <c r="G1002" s="315"/>
    </row>
    <row r="1003" spans="1:7" s="32" customFormat="1" x14ac:dyDescent="0.25">
      <c r="A1003" s="315"/>
      <c r="B1003" s="315"/>
      <c r="C1003" s="326"/>
      <c r="D1003" s="315"/>
      <c r="E1003" s="321"/>
      <c r="F1003" s="322"/>
      <c r="G1003" s="315"/>
    </row>
    <row r="1004" spans="1:7" s="32" customFormat="1" x14ac:dyDescent="0.25">
      <c r="A1004" s="315"/>
      <c r="B1004" s="315"/>
      <c r="C1004" s="326"/>
      <c r="D1004" s="315"/>
      <c r="E1004" s="321"/>
      <c r="F1004" s="322"/>
      <c r="G1004" s="315"/>
    </row>
    <row r="1005" spans="1:7" s="32" customFormat="1" x14ac:dyDescent="0.25">
      <c r="A1005" s="315"/>
      <c r="B1005" s="315"/>
      <c r="C1005" s="326"/>
      <c r="D1005" s="315"/>
      <c r="E1005" s="321"/>
      <c r="F1005" s="322"/>
      <c r="G1005" s="315"/>
    </row>
    <row r="1006" spans="1:7" s="32" customFormat="1" x14ac:dyDescent="0.25">
      <c r="A1006" s="315"/>
      <c r="B1006" s="315"/>
      <c r="C1006" s="326"/>
      <c r="D1006" s="315"/>
      <c r="E1006" s="321"/>
      <c r="F1006" s="322"/>
      <c r="G1006" s="315"/>
    </row>
    <row r="1007" spans="1:7" s="32" customFormat="1" x14ac:dyDescent="0.25">
      <c r="A1007" s="315"/>
      <c r="B1007" s="315"/>
      <c r="C1007" s="326"/>
      <c r="D1007" s="315"/>
      <c r="E1007" s="321"/>
      <c r="F1007" s="322"/>
      <c r="G1007" s="315"/>
    </row>
    <row r="1008" spans="1:7" s="32" customFormat="1" x14ac:dyDescent="0.25">
      <c r="A1008" s="315"/>
      <c r="B1008" s="315"/>
      <c r="C1008" s="326"/>
      <c r="D1008" s="315"/>
      <c r="E1008" s="321"/>
      <c r="F1008" s="322"/>
      <c r="G1008" s="315"/>
    </row>
    <row r="1009" spans="1:7" s="32" customFormat="1" x14ac:dyDescent="0.25">
      <c r="A1009" s="315"/>
      <c r="B1009" s="315"/>
      <c r="C1009" s="326"/>
      <c r="D1009" s="315"/>
      <c r="E1009" s="321"/>
      <c r="F1009" s="322"/>
      <c r="G1009" s="315"/>
    </row>
    <row r="1010" spans="1:7" s="32" customFormat="1" x14ac:dyDescent="0.25">
      <c r="A1010" s="315"/>
      <c r="B1010" s="315"/>
      <c r="C1010" s="326"/>
      <c r="D1010" s="315"/>
      <c r="E1010" s="321"/>
      <c r="F1010" s="322"/>
      <c r="G1010" s="315"/>
    </row>
    <row r="1011" spans="1:7" s="32" customFormat="1" x14ac:dyDescent="0.25">
      <c r="A1011" s="315"/>
      <c r="B1011" s="315"/>
      <c r="C1011" s="326"/>
      <c r="D1011" s="315"/>
      <c r="E1011" s="321"/>
      <c r="F1011" s="322"/>
      <c r="G1011" s="315"/>
    </row>
    <row r="1012" spans="1:7" s="32" customFormat="1" x14ac:dyDescent="0.25">
      <c r="A1012" s="315"/>
      <c r="B1012" s="315"/>
      <c r="C1012" s="326"/>
      <c r="D1012" s="315"/>
      <c r="E1012" s="321"/>
      <c r="F1012" s="322"/>
      <c r="G1012" s="315"/>
    </row>
    <row r="1013" spans="1:7" s="32" customFormat="1" x14ac:dyDescent="0.25">
      <c r="A1013" s="315"/>
      <c r="B1013" s="315"/>
      <c r="C1013" s="326"/>
      <c r="D1013" s="315"/>
      <c r="E1013" s="321"/>
      <c r="F1013" s="322"/>
      <c r="G1013" s="315"/>
    </row>
    <row r="1014" spans="1:7" s="32" customFormat="1" x14ac:dyDescent="0.25">
      <c r="A1014" s="315"/>
      <c r="B1014" s="315"/>
      <c r="C1014" s="326"/>
      <c r="D1014" s="315"/>
      <c r="E1014" s="321"/>
      <c r="F1014" s="322"/>
      <c r="G1014" s="315"/>
    </row>
    <row r="1015" spans="1:7" s="32" customFormat="1" x14ac:dyDescent="0.25">
      <c r="A1015" s="315"/>
      <c r="B1015" s="315"/>
      <c r="C1015" s="326"/>
      <c r="D1015" s="315"/>
      <c r="E1015" s="321"/>
      <c r="F1015" s="322"/>
      <c r="G1015" s="315"/>
    </row>
    <row r="1016" spans="1:7" s="32" customFormat="1" x14ac:dyDescent="0.25">
      <c r="A1016" s="315"/>
      <c r="B1016" s="315"/>
      <c r="C1016" s="326"/>
      <c r="D1016" s="315"/>
      <c r="E1016" s="321"/>
      <c r="F1016" s="322"/>
      <c r="G1016" s="315"/>
    </row>
    <row r="1017" spans="1:7" s="32" customFormat="1" x14ac:dyDescent="0.25">
      <c r="A1017" s="315"/>
      <c r="B1017" s="315"/>
      <c r="C1017" s="326"/>
      <c r="D1017" s="315"/>
      <c r="E1017" s="321"/>
      <c r="F1017" s="322"/>
      <c r="G1017" s="315"/>
    </row>
    <row r="1018" spans="1:7" s="32" customFormat="1" x14ac:dyDescent="0.25">
      <c r="A1018" s="315"/>
      <c r="B1018" s="315"/>
      <c r="C1018" s="326"/>
      <c r="D1018" s="315"/>
      <c r="E1018" s="321"/>
      <c r="F1018" s="322"/>
      <c r="G1018" s="315"/>
    </row>
    <row r="1019" spans="1:7" s="32" customFormat="1" x14ac:dyDescent="0.25">
      <c r="A1019" s="315"/>
      <c r="B1019" s="315"/>
      <c r="C1019" s="326"/>
      <c r="D1019" s="315"/>
      <c r="E1019" s="321"/>
      <c r="F1019" s="322"/>
      <c r="G1019" s="315"/>
    </row>
    <row r="1020" spans="1:7" s="32" customFormat="1" x14ac:dyDescent="0.25">
      <c r="A1020" s="315"/>
      <c r="B1020" s="315"/>
      <c r="C1020" s="326"/>
      <c r="D1020" s="315"/>
      <c r="E1020" s="321"/>
      <c r="F1020" s="322"/>
      <c r="G1020" s="315"/>
    </row>
    <row r="1021" spans="1:7" s="32" customFormat="1" x14ac:dyDescent="0.25">
      <c r="A1021" s="315"/>
      <c r="B1021" s="315"/>
      <c r="C1021" s="326"/>
      <c r="D1021" s="315"/>
      <c r="E1021" s="321"/>
      <c r="F1021" s="322"/>
      <c r="G1021" s="315"/>
    </row>
    <row r="1022" spans="1:7" s="32" customFormat="1" x14ac:dyDescent="0.25">
      <c r="A1022" s="315"/>
      <c r="B1022" s="315"/>
      <c r="C1022" s="326"/>
      <c r="D1022" s="315"/>
      <c r="E1022" s="321"/>
      <c r="F1022" s="322"/>
      <c r="G1022" s="315"/>
    </row>
    <row r="1023" spans="1:7" s="32" customFormat="1" x14ac:dyDescent="0.25">
      <c r="A1023" s="315"/>
      <c r="B1023" s="315"/>
      <c r="C1023" s="326"/>
      <c r="D1023" s="315"/>
      <c r="E1023" s="321"/>
      <c r="F1023" s="322"/>
      <c r="G1023" s="315"/>
    </row>
    <row r="1024" spans="1:7" s="32" customFormat="1" x14ac:dyDescent="0.25">
      <c r="A1024" s="315"/>
      <c r="B1024" s="315"/>
      <c r="C1024" s="326"/>
      <c r="D1024" s="315"/>
      <c r="E1024" s="321"/>
      <c r="F1024" s="322"/>
      <c r="G1024" s="315"/>
    </row>
    <row r="1025" spans="1:7" s="32" customFormat="1" x14ac:dyDescent="0.25">
      <c r="A1025" s="315"/>
      <c r="B1025" s="315"/>
      <c r="C1025" s="326"/>
      <c r="D1025" s="315"/>
      <c r="E1025" s="321"/>
      <c r="F1025" s="322"/>
      <c r="G1025" s="315"/>
    </row>
    <row r="1026" spans="1:7" s="32" customFormat="1" x14ac:dyDescent="0.25">
      <c r="A1026" s="315"/>
      <c r="B1026" s="315"/>
      <c r="C1026" s="326"/>
      <c r="D1026" s="315"/>
      <c r="E1026" s="321"/>
      <c r="F1026" s="322"/>
      <c r="G1026" s="315"/>
    </row>
    <row r="1027" spans="1:7" s="32" customFormat="1" x14ac:dyDescent="0.25">
      <c r="A1027" s="315"/>
      <c r="B1027" s="315"/>
      <c r="C1027" s="326"/>
      <c r="D1027" s="315"/>
      <c r="E1027" s="321"/>
      <c r="F1027" s="322"/>
      <c r="G1027" s="315"/>
    </row>
    <row r="1028" spans="1:7" s="32" customFormat="1" x14ac:dyDescent="0.25">
      <c r="A1028" s="315"/>
      <c r="B1028" s="315"/>
      <c r="C1028" s="326"/>
      <c r="D1028" s="315"/>
      <c r="E1028" s="321"/>
      <c r="F1028" s="322"/>
      <c r="G1028" s="315"/>
    </row>
    <row r="1029" spans="1:7" s="32" customFormat="1" x14ac:dyDescent="0.25">
      <c r="A1029" s="315"/>
      <c r="B1029" s="315"/>
      <c r="C1029" s="326"/>
      <c r="D1029" s="315"/>
      <c r="E1029" s="321"/>
      <c r="F1029" s="322"/>
      <c r="G1029" s="315"/>
    </row>
    <row r="1030" spans="1:7" s="32" customFormat="1" x14ac:dyDescent="0.25">
      <c r="A1030" s="315"/>
      <c r="B1030" s="315"/>
      <c r="C1030" s="326"/>
      <c r="D1030" s="315"/>
      <c r="E1030" s="321"/>
      <c r="F1030" s="322"/>
      <c r="G1030" s="315"/>
    </row>
    <row r="1031" spans="1:7" s="32" customFormat="1" x14ac:dyDescent="0.25">
      <c r="A1031" s="315"/>
      <c r="B1031" s="315"/>
      <c r="C1031" s="326"/>
      <c r="D1031" s="315"/>
      <c r="E1031" s="321"/>
      <c r="F1031" s="322"/>
      <c r="G1031" s="315"/>
    </row>
    <row r="1032" spans="1:7" s="32" customFormat="1" x14ac:dyDescent="0.25">
      <c r="A1032" s="315"/>
      <c r="B1032" s="315"/>
      <c r="C1032" s="326"/>
      <c r="D1032" s="315"/>
      <c r="E1032" s="321"/>
      <c r="F1032" s="322"/>
      <c r="G1032" s="315"/>
    </row>
    <row r="1033" spans="1:7" s="32" customFormat="1" x14ac:dyDescent="0.25">
      <c r="A1033" s="315"/>
      <c r="B1033" s="315"/>
      <c r="C1033" s="326"/>
      <c r="D1033" s="315"/>
      <c r="E1033" s="321"/>
      <c r="F1033" s="322"/>
      <c r="G1033" s="315"/>
    </row>
    <row r="1034" spans="1:7" s="32" customFormat="1" x14ac:dyDescent="0.25">
      <c r="A1034" s="315"/>
      <c r="B1034" s="315"/>
      <c r="C1034" s="326"/>
      <c r="D1034" s="315"/>
      <c r="E1034" s="321"/>
      <c r="F1034" s="322"/>
      <c r="G1034" s="315"/>
    </row>
    <row r="1035" spans="1:7" s="32" customFormat="1" x14ac:dyDescent="0.25">
      <c r="A1035" s="315"/>
      <c r="B1035" s="315"/>
      <c r="C1035" s="326"/>
      <c r="D1035" s="315"/>
      <c r="E1035" s="321"/>
      <c r="F1035" s="322"/>
      <c r="G1035" s="315"/>
    </row>
    <row r="1036" spans="1:7" s="32" customFormat="1" x14ac:dyDescent="0.25">
      <c r="A1036" s="315"/>
      <c r="B1036" s="315"/>
      <c r="C1036" s="326"/>
      <c r="D1036" s="315"/>
      <c r="E1036" s="321"/>
      <c r="F1036" s="322"/>
      <c r="G1036" s="315"/>
    </row>
    <row r="1037" spans="1:7" s="32" customFormat="1" x14ac:dyDescent="0.25">
      <c r="A1037" s="315"/>
      <c r="B1037" s="315"/>
      <c r="C1037" s="326"/>
      <c r="D1037" s="315"/>
      <c r="E1037" s="321"/>
      <c r="F1037" s="322"/>
      <c r="G1037" s="315"/>
    </row>
    <row r="1038" spans="1:7" s="32" customFormat="1" x14ac:dyDescent="0.25">
      <c r="A1038" s="315"/>
      <c r="B1038" s="315"/>
      <c r="C1038" s="326"/>
      <c r="D1038" s="315"/>
      <c r="E1038" s="321"/>
      <c r="F1038" s="322"/>
      <c r="G1038" s="315"/>
    </row>
    <row r="1039" spans="1:7" s="32" customFormat="1" x14ac:dyDescent="0.25">
      <c r="A1039" s="315"/>
      <c r="B1039" s="315"/>
      <c r="C1039" s="326"/>
      <c r="D1039" s="315"/>
      <c r="E1039" s="321"/>
      <c r="F1039" s="322"/>
      <c r="G1039" s="315"/>
    </row>
    <row r="1040" spans="1:7" s="32" customFormat="1" x14ac:dyDescent="0.25">
      <c r="A1040" s="315"/>
      <c r="B1040" s="315"/>
      <c r="C1040" s="326"/>
      <c r="D1040" s="315"/>
      <c r="E1040" s="321"/>
      <c r="F1040" s="322"/>
      <c r="G1040" s="315"/>
    </row>
    <row r="1041" spans="1:7" s="32" customFormat="1" x14ac:dyDescent="0.25">
      <c r="A1041" s="315"/>
      <c r="B1041" s="315"/>
      <c r="C1041" s="326"/>
      <c r="D1041" s="315"/>
      <c r="E1041" s="321"/>
      <c r="F1041" s="322"/>
      <c r="G1041" s="315"/>
    </row>
    <row r="1042" spans="1:7" s="32" customFormat="1" x14ac:dyDescent="0.25">
      <c r="A1042" s="315"/>
      <c r="B1042" s="315"/>
      <c r="C1042" s="326"/>
      <c r="D1042" s="315"/>
      <c r="E1042" s="321"/>
      <c r="F1042" s="322"/>
      <c r="G1042" s="315"/>
    </row>
    <row r="1043" spans="1:7" s="32" customFormat="1" x14ac:dyDescent="0.25">
      <c r="A1043" s="315"/>
      <c r="B1043" s="315"/>
      <c r="C1043" s="326"/>
      <c r="D1043" s="315"/>
      <c r="E1043" s="321"/>
      <c r="F1043" s="322"/>
      <c r="G1043" s="315"/>
    </row>
    <row r="1044" spans="1:7" s="32" customFormat="1" x14ac:dyDescent="0.25">
      <c r="A1044" s="315"/>
      <c r="B1044" s="315"/>
      <c r="C1044" s="326"/>
      <c r="D1044" s="315"/>
      <c r="E1044" s="321"/>
      <c r="F1044" s="322"/>
      <c r="G1044" s="315"/>
    </row>
    <row r="1045" spans="1:7" s="32" customFormat="1" x14ac:dyDescent="0.25">
      <c r="A1045" s="315"/>
      <c r="B1045" s="315"/>
      <c r="C1045" s="326"/>
      <c r="D1045" s="315"/>
      <c r="E1045" s="321"/>
      <c r="F1045" s="322"/>
      <c r="G1045" s="315"/>
    </row>
    <row r="1046" spans="1:7" s="32" customFormat="1" x14ac:dyDescent="0.25">
      <c r="A1046" s="315"/>
      <c r="B1046" s="315"/>
      <c r="C1046" s="326"/>
      <c r="D1046" s="315"/>
      <c r="E1046" s="321"/>
      <c r="F1046" s="322"/>
      <c r="G1046" s="315"/>
    </row>
    <row r="1047" spans="1:7" s="32" customFormat="1" x14ac:dyDescent="0.25">
      <c r="A1047" s="315"/>
      <c r="B1047" s="315"/>
      <c r="C1047" s="326"/>
      <c r="D1047" s="315"/>
      <c r="E1047" s="321"/>
      <c r="F1047" s="322"/>
      <c r="G1047" s="315"/>
    </row>
    <row r="1048" spans="1:7" s="32" customFormat="1" x14ac:dyDescent="0.25">
      <c r="A1048" s="315"/>
      <c r="B1048" s="315"/>
      <c r="C1048" s="326"/>
      <c r="D1048" s="315"/>
      <c r="E1048" s="321"/>
      <c r="F1048" s="322"/>
      <c r="G1048" s="315"/>
    </row>
    <row r="1049" spans="1:7" s="32" customFormat="1" x14ac:dyDescent="0.25">
      <c r="A1049" s="315"/>
      <c r="B1049" s="315"/>
      <c r="C1049" s="326"/>
      <c r="D1049" s="315"/>
      <c r="E1049" s="321"/>
      <c r="F1049" s="322"/>
      <c r="G1049" s="315"/>
    </row>
    <row r="1050" spans="1:7" s="32" customFormat="1" x14ac:dyDescent="0.25">
      <c r="A1050" s="315"/>
      <c r="B1050" s="315"/>
      <c r="C1050" s="326"/>
      <c r="D1050" s="315"/>
      <c r="E1050" s="321"/>
      <c r="F1050" s="322"/>
      <c r="G1050" s="315"/>
    </row>
    <row r="1051" spans="1:7" s="32" customFormat="1" x14ac:dyDescent="0.25">
      <c r="A1051" s="315"/>
      <c r="B1051" s="315"/>
      <c r="C1051" s="326"/>
      <c r="D1051" s="315"/>
      <c r="E1051" s="321"/>
      <c r="F1051" s="322"/>
      <c r="G1051" s="315"/>
    </row>
    <row r="1052" spans="1:7" s="32" customFormat="1" x14ac:dyDescent="0.25">
      <c r="A1052" s="315"/>
      <c r="B1052" s="315"/>
      <c r="C1052" s="326"/>
      <c r="D1052" s="315"/>
      <c r="E1052" s="321"/>
      <c r="F1052" s="322"/>
      <c r="G1052" s="315"/>
    </row>
    <row r="1053" spans="1:7" s="32" customFormat="1" x14ac:dyDescent="0.25">
      <c r="A1053" s="315"/>
      <c r="B1053" s="315"/>
      <c r="C1053" s="326"/>
      <c r="D1053" s="315"/>
      <c r="E1053" s="321"/>
      <c r="F1053" s="322"/>
      <c r="G1053" s="315"/>
    </row>
    <row r="1054" spans="1:7" s="32" customFormat="1" x14ac:dyDescent="0.25">
      <c r="A1054" s="315"/>
      <c r="B1054" s="315"/>
      <c r="C1054" s="326"/>
      <c r="D1054" s="315"/>
      <c r="E1054" s="321"/>
      <c r="F1054" s="322"/>
      <c r="G1054" s="315"/>
    </row>
    <row r="1055" spans="1:7" s="32" customFormat="1" x14ac:dyDescent="0.25">
      <c r="A1055" s="315"/>
      <c r="B1055" s="315"/>
      <c r="C1055" s="326"/>
      <c r="D1055" s="315"/>
      <c r="E1055" s="321"/>
      <c r="F1055" s="322"/>
      <c r="G1055" s="315"/>
    </row>
    <row r="1056" spans="1:7" s="32" customFormat="1" x14ac:dyDescent="0.25">
      <c r="A1056" s="315"/>
      <c r="B1056" s="315"/>
      <c r="C1056" s="326"/>
      <c r="D1056" s="315"/>
      <c r="E1056" s="321"/>
      <c r="F1056" s="322"/>
      <c r="G1056" s="315"/>
    </row>
    <row r="1057" spans="1:7" s="32" customFormat="1" x14ac:dyDescent="0.25">
      <c r="A1057" s="315"/>
      <c r="B1057" s="315"/>
      <c r="C1057" s="326"/>
      <c r="D1057" s="315"/>
      <c r="E1057" s="321"/>
      <c r="F1057" s="322"/>
      <c r="G1057" s="315"/>
    </row>
    <row r="1058" spans="1:7" s="32" customFormat="1" x14ac:dyDescent="0.25">
      <c r="A1058" s="315"/>
      <c r="B1058" s="315"/>
      <c r="C1058" s="326"/>
      <c r="D1058" s="315"/>
      <c r="E1058" s="321"/>
      <c r="F1058" s="322"/>
      <c r="G1058" s="315"/>
    </row>
    <row r="1059" spans="1:7" s="32" customFormat="1" x14ac:dyDescent="0.25">
      <c r="A1059" s="315"/>
      <c r="B1059" s="315"/>
      <c r="C1059" s="326"/>
      <c r="D1059" s="315"/>
      <c r="E1059" s="321"/>
      <c r="F1059" s="322"/>
      <c r="G1059" s="315"/>
    </row>
    <row r="1060" spans="1:7" s="32" customFormat="1" x14ac:dyDescent="0.25">
      <c r="A1060" s="315"/>
      <c r="B1060" s="315"/>
      <c r="C1060" s="326"/>
      <c r="D1060" s="315"/>
      <c r="E1060" s="321"/>
      <c r="F1060" s="322"/>
      <c r="G1060" s="315"/>
    </row>
    <row r="1061" spans="1:7" s="32" customFormat="1" x14ac:dyDescent="0.25">
      <c r="A1061" s="315"/>
      <c r="B1061" s="315"/>
      <c r="C1061" s="326"/>
      <c r="D1061" s="315"/>
      <c r="E1061" s="321"/>
      <c r="F1061" s="322"/>
      <c r="G1061" s="315"/>
    </row>
    <row r="1062" spans="1:7" s="32" customFormat="1" x14ac:dyDescent="0.25">
      <c r="A1062" s="315"/>
      <c r="B1062" s="315"/>
      <c r="C1062" s="326"/>
      <c r="D1062" s="315"/>
      <c r="E1062" s="321"/>
      <c r="F1062" s="322"/>
      <c r="G1062" s="315"/>
    </row>
    <row r="1063" spans="1:7" s="32" customFormat="1" x14ac:dyDescent="0.25">
      <c r="A1063" s="315"/>
      <c r="B1063" s="315"/>
      <c r="C1063" s="326"/>
      <c r="D1063" s="315"/>
      <c r="E1063" s="321"/>
      <c r="F1063" s="322"/>
      <c r="G1063" s="315"/>
    </row>
    <row r="1064" spans="1:7" s="32" customFormat="1" x14ac:dyDescent="0.25">
      <c r="A1064" s="315"/>
      <c r="B1064" s="315"/>
      <c r="C1064" s="326"/>
      <c r="D1064" s="315"/>
      <c r="E1064" s="321"/>
      <c r="F1064" s="322"/>
      <c r="G1064" s="315"/>
    </row>
    <row r="1065" spans="1:7" s="32" customFormat="1" x14ac:dyDescent="0.25">
      <c r="A1065" s="315"/>
      <c r="B1065" s="315"/>
      <c r="C1065" s="326"/>
      <c r="D1065" s="315"/>
      <c r="E1065" s="321"/>
      <c r="F1065" s="322"/>
      <c r="G1065" s="315"/>
    </row>
    <row r="1066" spans="1:7" s="32" customFormat="1" x14ac:dyDescent="0.25">
      <c r="A1066" s="315"/>
      <c r="B1066" s="315"/>
      <c r="C1066" s="326"/>
      <c r="D1066" s="315"/>
      <c r="E1066" s="321"/>
      <c r="F1066" s="322"/>
      <c r="G1066" s="315"/>
    </row>
    <row r="1067" spans="1:7" s="32" customFormat="1" x14ac:dyDescent="0.25">
      <c r="A1067" s="315"/>
      <c r="B1067" s="315"/>
      <c r="C1067" s="326"/>
      <c r="D1067" s="315"/>
      <c r="E1067" s="321"/>
      <c r="F1067" s="322"/>
      <c r="G1067" s="315"/>
    </row>
    <row r="1068" spans="1:7" s="32" customFormat="1" x14ac:dyDescent="0.25">
      <c r="A1068" s="315"/>
      <c r="B1068" s="315"/>
      <c r="C1068" s="326"/>
      <c r="D1068" s="315"/>
      <c r="E1068" s="321"/>
      <c r="F1068" s="322"/>
      <c r="G1068" s="315"/>
    </row>
    <row r="1069" spans="1:7" s="32" customFormat="1" x14ac:dyDescent="0.25">
      <c r="A1069" s="315"/>
      <c r="B1069" s="315"/>
      <c r="C1069" s="326"/>
      <c r="D1069" s="315"/>
      <c r="E1069" s="321"/>
      <c r="F1069" s="322"/>
      <c r="G1069" s="315"/>
    </row>
    <row r="1070" spans="1:7" s="32" customFormat="1" x14ac:dyDescent="0.25">
      <c r="A1070" s="315"/>
      <c r="B1070" s="315"/>
      <c r="C1070" s="326"/>
      <c r="D1070" s="315"/>
      <c r="E1070" s="321"/>
      <c r="F1070" s="322"/>
      <c r="G1070" s="315"/>
    </row>
    <row r="1071" spans="1:7" s="32" customFormat="1" x14ac:dyDescent="0.25">
      <c r="A1071" s="315"/>
      <c r="B1071" s="315"/>
      <c r="C1071" s="326"/>
      <c r="D1071" s="315"/>
      <c r="E1071" s="321"/>
      <c r="F1071" s="322"/>
      <c r="G1071" s="315"/>
    </row>
    <row r="1072" spans="1:7" s="32" customFormat="1" x14ac:dyDescent="0.25">
      <c r="A1072" s="315"/>
      <c r="B1072" s="315"/>
      <c r="C1072" s="326"/>
      <c r="D1072" s="315"/>
      <c r="E1072" s="321"/>
      <c r="F1072" s="322"/>
      <c r="G1072" s="315"/>
    </row>
    <row r="1073" spans="1:7" s="32" customFormat="1" x14ac:dyDescent="0.25">
      <c r="A1073" s="315"/>
      <c r="B1073" s="315"/>
      <c r="C1073" s="326"/>
      <c r="D1073" s="315"/>
      <c r="E1073" s="321"/>
      <c r="F1073" s="322"/>
      <c r="G1073" s="315"/>
    </row>
    <row r="1074" spans="1:7" s="32" customFormat="1" x14ac:dyDescent="0.25">
      <c r="A1074" s="315"/>
      <c r="B1074" s="315"/>
      <c r="C1074" s="326"/>
      <c r="D1074" s="315"/>
      <c r="E1074" s="321"/>
      <c r="F1074" s="322"/>
      <c r="G1074" s="315"/>
    </row>
    <row r="1075" spans="1:7" s="32" customFormat="1" x14ac:dyDescent="0.25">
      <c r="A1075" s="315"/>
      <c r="B1075" s="315"/>
      <c r="C1075" s="326"/>
      <c r="D1075" s="315"/>
      <c r="E1075" s="321"/>
      <c r="F1075" s="322"/>
      <c r="G1075" s="315"/>
    </row>
    <row r="1076" spans="1:7" s="32" customFormat="1" x14ac:dyDescent="0.25">
      <c r="A1076" s="315"/>
      <c r="B1076" s="315"/>
      <c r="C1076" s="326"/>
      <c r="D1076" s="315"/>
      <c r="E1076" s="321"/>
      <c r="F1076" s="322"/>
      <c r="G1076" s="315"/>
    </row>
    <row r="1077" spans="1:7" s="32" customFormat="1" x14ac:dyDescent="0.25">
      <c r="A1077" s="315"/>
      <c r="B1077" s="315"/>
      <c r="C1077" s="326"/>
      <c r="D1077" s="315"/>
      <c r="E1077" s="321"/>
      <c r="F1077" s="322"/>
      <c r="G1077" s="315"/>
    </row>
    <row r="1078" spans="1:7" s="32" customFormat="1" x14ac:dyDescent="0.25">
      <c r="A1078" s="315"/>
      <c r="B1078" s="315"/>
      <c r="C1078" s="326"/>
      <c r="D1078" s="315"/>
      <c r="E1078" s="321"/>
      <c r="F1078" s="322"/>
      <c r="G1078" s="315"/>
    </row>
    <row r="1079" spans="1:7" s="32" customFormat="1" x14ac:dyDescent="0.25">
      <c r="A1079" s="315"/>
      <c r="B1079" s="315"/>
      <c r="C1079" s="326"/>
      <c r="D1079" s="315"/>
      <c r="E1079" s="321"/>
      <c r="F1079" s="322"/>
      <c r="G1079" s="315"/>
    </row>
    <row r="1080" spans="1:7" s="32" customFormat="1" x14ac:dyDescent="0.25">
      <c r="A1080" s="315"/>
      <c r="B1080" s="315"/>
      <c r="C1080" s="326"/>
      <c r="D1080" s="315"/>
      <c r="E1080" s="321"/>
      <c r="F1080" s="322"/>
      <c r="G1080" s="315"/>
    </row>
    <row r="1081" spans="1:7" s="32" customFormat="1" x14ac:dyDescent="0.25">
      <c r="A1081" s="315"/>
      <c r="B1081" s="315"/>
      <c r="C1081" s="326"/>
      <c r="D1081" s="315"/>
      <c r="E1081" s="321"/>
      <c r="F1081" s="322"/>
      <c r="G1081" s="315"/>
    </row>
    <row r="1082" spans="1:7" s="32" customFormat="1" x14ac:dyDescent="0.25">
      <c r="A1082" s="315"/>
      <c r="B1082" s="315"/>
      <c r="C1082" s="326"/>
      <c r="D1082" s="315"/>
      <c r="E1082" s="321"/>
      <c r="F1082" s="322"/>
      <c r="G1082" s="315"/>
    </row>
    <row r="1083" spans="1:7" s="32" customFormat="1" x14ac:dyDescent="0.25">
      <c r="A1083" s="315"/>
      <c r="B1083" s="315"/>
      <c r="C1083" s="326"/>
      <c r="D1083" s="315"/>
      <c r="E1083" s="321"/>
      <c r="F1083" s="322"/>
      <c r="G1083" s="315"/>
    </row>
    <row r="1084" spans="1:7" s="32" customFormat="1" x14ac:dyDescent="0.25">
      <c r="A1084" s="315"/>
      <c r="B1084" s="315"/>
      <c r="C1084" s="326"/>
      <c r="D1084" s="315"/>
      <c r="E1084" s="321"/>
      <c r="F1084" s="322"/>
      <c r="G1084" s="315"/>
    </row>
    <row r="1085" spans="1:7" s="32" customFormat="1" x14ac:dyDescent="0.25">
      <c r="A1085" s="315"/>
      <c r="B1085" s="315"/>
      <c r="C1085" s="326"/>
      <c r="D1085" s="315"/>
      <c r="E1085" s="321"/>
      <c r="F1085" s="322"/>
      <c r="G1085" s="315"/>
    </row>
    <row r="1086" spans="1:7" s="32" customFormat="1" x14ac:dyDescent="0.25">
      <c r="A1086" s="315"/>
      <c r="B1086" s="315"/>
      <c r="C1086" s="326"/>
      <c r="D1086" s="315"/>
      <c r="E1086" s="321"/>
      <c r="F1086" s="322"/>
      <c r="G1086" s="315"/>
    </row>
    <row r="1087" spans="1:7" s="32" customFormat="1" x14ac:dyDescent="0.25">
      <c r="A1087" s="315"/>
      <c r="B1087" s="315"/>
      <c r="C1087" s="326"/>
      <c r="D1087" s="315"/>
      <c r="E1087" s="321"/>
      <c r="F1087" s="322"/>
      <c r="G1087" s="315"/>
    </row>
    <row r="1088" spans="1:7" s="32" customFormat="1" x14ac:dyDescent="0.25">
      <c r="A1088" s="315"/>
      <c r="B1088" s="315"/>
      <c r="C1088" s="326"/>
      <c r="D1088" s="315"/>
      <c r="E1088" s="321"/>
      <c r="F1088" s="322"/>
      <c r="G1088" s="315"/>
    </row>
    <row r="1089" spans="1:7" s="32" customFormat="1" x14ac:dyDescent="0.25">
      <c r="A1089" s="315"/>
      <c r="B1089" s="315"/>
      <c r="C1089" s="326"/>
      <c r="D1089" s="315"/>
      <c r="E1089" s="321"/>
      <c r="F1089" s="322"/>
      <c r="G1089" s="315"/>
    </row>
    <row r="1090" spans="1:7" s="32" customFormat="1" x14ac:dyDescent="0.25">
      <c r="A1090" s="315"/>
      <c r="B1090" s="315"/>
      <c r="C1090" s="326"/>
      <c r="D1090" s="315"/>
      <c r="E1090" s="321"/>
      <c r="F1090" s="322"/>
      <c r="G1090" s="315"/>
    </row>
    <row r="1091" spans="1:7" s="32" customFormat="1" x14ac:dyDescent="0.25">
      <c r="A1091" s="315"/>
      <c r="B1091" s="315"/>
      <c r="C1091" s="326"/>
      <c r="D1091" s="315"/>
      <c r="E1091" s="321"/>
      <c r="F1091" s="322"/>
      <c r="G1091" s="315"/>
    </row>
    <row r="1092" spans="1:7" s="32" customFormat="1" x14ac:dyDescent="0.25">
      <c r="A1092" s="315"/>
      <c r="B1092" s="315"/>
      <c r="C1092" s="326"/>
      <c r="D1092" s="315"/>
      <c r="E1092" s="321"/>
      <c r="F1092" s="322"/>
      <c r="G1092" s="315"/>
    </row>
    <row r="1093" spans="1:7" s="32" customFormat="1" x14ac:dyDescent="0.25">
      <c r="A1093" s="315"/>
      <c r="B1093" s="315"/>
      <c r="C1093" s="326"/>
      <c r="D1093" s="315"/>
      <c r="E1093" s="321"/>
      <c r="F1093" s="322"/>
      <c r="G1093" s="315"/>
    </row>
    <row r="1094" spans="1:7" s="32" customFormat="1" x14ac:dyDescent="0.25">
      <c r="A1094" s="315"/>
      <c r="B1094" s="315"/>
      <c r="C1094" s="326"/>
      <c r="D1094" s="315"/>
      <c r="E1094" s="321"/>
      <c r="F1094" s="322"/>
      <c r="G1094" s="315"/>
    </row>
    <row r="1095" spans="1:7" s="32" customFormat="1" x14ac:dyDescent="0.25">
      <c r="A1095" s="315"/>
      <c r="B1095" s="315"/>
      <c r="C1095" s="326"/>
      <c r="D1095" s="315"/>
      <c r="E1095" s="321"/>
      <c r="F1095" s="322"/>
      <c r="G1095" s="315"/>
    </row>
    <row r="1096" spans="1:7" s="32" customFormat="1" x14ac:dyDescent="0.25">
      <c r="A1096" s="315"/>
      <c r="B1096" s="315"/>
      <c r="C1096" s="326"/>
      <c r="D1096" s="315"/>
      <c r="E1096" s="321"/>
      <c r="F1096" s="322"/>
      <c r="G1096" s="315"/>
    </row>
    <row r="1097" spans="1:7" s="32" customFormat="1" x14ac:dyDescent="0.25">
      <c r="A1097" s="315"/>
      <c r="B1097" s="315"/>
      <c r="C1097" s="326"/>
      <c r="D1097" s="315"/>
      <c r="E1097" s="321"/>
      <c r="F1097" s="322"/>
      <c r="G1097" s="315"/>
    </row>
    <row r="1098" spans="1:7" s="32" customFormat="1" x14ac:dyDescent="0.25">
      <c r="A1098" s="315"/>
      <c r="B1098" s="315"/>
      <c r="C1098" s="326"/>
      <c r="D1098" s="315"/>
      <c r="E1098" s="321"/>
      <c r="F1098" s="322"/>
      <c r="G1098" s="315"/>
    </row>
    <row r="1099" spans="1:7" s="32" customFormat="1" x14ac:dyDescent="0.25">
      <c r="A1099" s="315"/>
      <c r="B1099" s="315"/>
      <c r="C1099" s="326"/>
      <c r="D1099" s="315"/>
      <c r="E1099" s="321"/>
      <c r="F1099" s="322"/>
      <c r="G1099" s="315"/>
    </row>
    <row r="1100" spans="1:7" s="32" customFormat="1" x14ac:dyDescent="0.25">
      <c r="A1100" s="315"/>
      <c r="B1100" s="315"/>
      <c r="C1100" s="326"/>
      <c r="D1100" s="315"/>
      <c r="E1100" s="321"/>
      <c r="F1100" s="322"/>
      <c r="G1100" s="315"/>
    </row>
    <row r="1101" spans="1:7" s="32" customFormat="1" x14ac:dyDescent="0.25">
      <c r="A1101" s="315"/>
      <c r="B1101" s="315"/>
      <c r="C1101" s="326"/>
      <c r="D1101" s="315"/>
      <c r="E1101" s="321"/>
      <c r="F1101" s="322"/>
      <c r="G1101" s="315"/>
    </row>
    <row r="1102" spans="1:7" s="32" customFormat="1" x14ac:dyDescent="0.25">
      <c r="A1102" s="315"/>
      <c r="B1102" s="315"/>
      <c r="C1102" s="326"/>
      <c r="D1102" s="315"/>
      <c r="E1102" s="321"/>
      <c r="F1102" s="322"/>
      <c r="G1102" s="315"/>
    </row>
    <row r="1103" spans="1:7" s="32" customFormat="1" x14ac:dyDescent="0.25">
      <c r="A1103" s="315"/>
      <c r="B1103" s="315"/>
      <c r="C1103" s="326"/>
      <c r="D1103" s="315"/>
      <c r="E1103" s="321"/>
      <c r="F1103" s="322"/>
      <c r="G1103" s="315"/>
    </row>
    <row r="1104" spans="1:7" s="32" customFormat="1" x14ac:dyDescent="0.25">
      <c r="A1104" s="315"/>
      <c r="B1104" s="315"/>
      <c r="C1104" s="326"/>
      <c r="D1104" s="315"/>
      <c r="E1104" s="321"/>
      <c r="F1104" s="322"/>
      <c r="G1104" s="315"/>
    </row>
    <row r="1105" spans="1:7" s="32" customFormat="1" x14ac:dyDescent="0.25">
      <c r="A1105" s="315"/>
      <c r="B1105" s="315"/>
      <c r="C1105" s="326"/>
      <c r="D1105" s="315"/>
      <c r="E1105" s="321"/>
      <c r="F1105" s="322"/>
      <c r="G1105" s="315"/>
    </row>
    <row r="1106" spans="1:7" s="32" customFormat="1" x14ac:dyDescent="0.25">
      <c r="A1106" s="315"/>
      <c r="B1106" s="315"/>
      <c r="C1106" s="326"/>
      <c r="D1106" s="315"/>
      <c r="E1106" s="321"/>
      <c r="F1106" s="322"/>
      <c r="G1106" s="315"/>
    </row>
    <row r="1107" spans="1:7" s="32" customFormat="1" x14ac:dyDescent="0.25">
      <c r="A1107" s="315"/>
      <c r="B1107" s="315"/>
      <c r="C1107" s="326"/>
      <c r="D1107" s="315"/>
      <c r="E1107" s="321"/>
      <c r="F1107" s="322"/>
      <c r="G1107" s="315"/>
    </row>
    <row r="1108" spans="1:7" s="32" customFormat="1" x14ac:dyDescent="0.25">
      <c r="A1108" s="315"/>
      <c r="B1108" s="315"/>
      <c r="C1108" s="326"/>
      <c r="D1108" s="315"/>
      <c r="E1108" s="321"/>
      <c r="F1108" s="322"/>
      <c r="G1108" s="315"/>
    </row>
    <row r="1109" spans="1:7" s="32" customFormat="1" x14ac:dyDescent="0.25">
      <c r="A1109" s="315"/>
      <c r="B1109" s="315"/>
      <c r="C1109" s="326"/>
      <c r="D1109" s="315"/>
      <c r="E1109" s="321"/>
      <c r="F1109" s="322"/>
      <c r="G1109" s="315"/>
    </row>
    <row r="1110" spans="1:7" s="32" customFormat="1" x14ac:dyDescent="0.25">
      <c r="A1110" s="315"/>
      <c r="B1110" s="315"/>
      <c r="C1110" s="326"/>
      <c r="D1110" s="315"/>
      <c r="E1110" s="321"/>
      <c r="F1110" s="322"/>
      <c r="G1110" s="315"/>
    </row>
    <row r="1111" spans="1:7" s="32" customFormat="1" x14ac:dyDescent="0.25">
      <c r="A1111" s="315"/>
      <c r="B1111" s="315"/>
      <c r="C1111" s="326"/>
      <c r="D1111" s="315"/>
      <c r="E1111" s="321"/>
      <c r="F1111" s="322"/>
      <c r="G1111" s="315"/>
    </row>
    <row r="1112" spans="1:7" s="32" customFormat="1" x14ac:dyDescent="0.25">
      <c r="A1112" s="315"/>
      <c r="B1112" s="315"/>
      <c r="C1112" s="326"/>
      <c r="D1112" s="315"/>
      <c r="E1112" s="321"/>
      <c r="F1112" s="322"/>
      <c r="G1112" s="315"/>
    </row>
    <row r="1113" spans="1:7" s="32" customFormat="1" x14ac:dyDescent="0.25">
      <c r="A1113" s="315"/>
      <c r="B1113" s="315"/>
      <c r="C1113" s="326"/>
      <c r="D1113" s="315"/>
      <c r="E1113" s="321"/>
      <c r="F1113" s="322"/>
      <c r="G1113" s="315"/>
    </row>
    <row r="1114" spans="1:7" s="32" customFormat="1" x14ac:dyDescent="0.25">
      <c r="A1114" s="315"/>
      <c r="B1114" s="315"/>
      <c r="C1114" s="326"/>
      <c r="D1114" s="315"/>
      <c r="E1114" s="321"/>
      <c r="F1114" s="322"/>
      <c r="G1114" s="315"/>
    </row>
    <row r="1115" spans="1:7" s="32" customFormat="1" x14ac:dyDescent="0.25">
      <c r="A1115" s="315"/>
      <c r="B1115" s="315"/>
      <c r="C1115" s="326"/>
      <c r="D1115" s="315"/>
      <c r="E1115" s="321"/>
      <c r="F1115" s="322"/>
      <c r="G1115" s="315"/>
    </row>
    <row r="1116" spans="1:7" s="32" customFormat="1" x14ac:dyDescent="0.25">
      <c r="A1116" s="315"/>
      <c r="B1116" s="315"/>
      <c r="C1116" s="326"/>
      <c r="D1116" s="315"/>
      <c r="E1116" s="321"/>
      <c r="F1116" s="322"/>
      <c r="G1116" s="315"/>
    </row>
    <row r="1117" spans="1:7" s="32" customFormat="1" x14ac:dyDescent="0.25">
      <c r="A1117" s="315"/>
      <c r="B1117" s="315"/>
      <c r="C1117" s="326"/>
      <c r="D1117" s="315"/>
      <c r="E1117" s="321"/>
      <c r="F1117" s="322"/>
      <c r="G1117" s="315"/>
    </row>
    <row r="1118" spans="1:7" s="32" customFormat="1" x14ac:dyDescent="0.25">
      <c r="A1118" s="315"/>
      <c r="B1118" s="315"/>
      <c r="C1118" s="326"/>
      <c r="D1118" s="315"/>
      <c r="E1118" s="321"/>
      <c r="F1118" s="322"/>
      <c r="G1118" s="315"/>
    </row>
    <row r="1119" spans="1:7" s="32" customFormat="1" x14ac:dyDescent="0.25">
      <c r="A1119" s="315"/>
      <c r="B1119" s="315"/>
      <c r="C1119" s="326"/>
      <c r="D1119" s="315"/>
      <c r="E1119" s="321"/>
      <c r="F1119" s="322"/>
      <c r="G1119" s="315"/>
    </row>
    <row r="1120" spans="1:7" s="32" customFormat="1" x14ac:dyDescent="0.25">
      <c r="A1120" s="315"/>
      <c r="B1120" s="315"/>
      <c r="C1120" s="326"/>
      <c r="D1120" s="315"/>
      <c r="E1120" s="321"/>
      <c r="F1120" s="322"/>
      <c r="G1120" s="315"/>
    </row>
    <row r="1121" spans="1:7" s="32" customFormat="1" x14ac:dyDescent="0.25">
      <c r="A1121" s="315"/>
      <c r="B1121" s="315"/>
      <c r="C1121" s="326"/>
      <c r="D1121" s="315"/>
      <c r="E1121" s="321"/>
      <c r="F1121" s="322"/>
      <c r="G1121" s="315"/>
    </row>
    <row r="1122" spans="1:7" s="32" customFormat="1" x14ac:dyDescent="0.25">
      <c r="A1122" s="315"/>
      <c r="B1122" s="315"/>
      <c r="C1122" s="326"/>
      <c r="D1122" s="315"/>
      <c r="E1122" s="321"/>
      <c r="F1122" s="322"/>
      <c r="G1122" s="315"/>
    </row>
    <row r="1123" spans="1:7" s="32" customFormat="1" x14ac:dyDescent="0.25">
      <c r="A1123" s="315"/>
      <c r="B1123" s="315"/>
      <c r="C1123" s="326"/>
      <c r="D1123" s="315"/>
      <c r="E1123" s="321"/>
      <c r="F1123" s="322"/>
      <c r="G1123" s="315"/>
    </row>
    <row r="1124" spans="1:7" s="32" customFormat="1" x14ac:dyDescent="0.25">
      <c r="A1124" s="315"/>
      <c r="B1124" s="315"/>
      <c r="C1124" s="326"/>
      <c r="D1124" s="315"/>
      <c r="E1124" s="321"/>
      <c r="F1124" s="322"/>
      <c r="G1124" s="315"/>
    </row>
    <row r="1125" spans="1:7" s="32" customFormat="1" x14ac:dyDescent="0.25">
      <c r="A1125" s="315"/>
      <c r="B1125" s="315"/>
      <c r="C1125" s="326"/>
      <c r="D1125" s="315"/>
      <c r="E1125" s="321"/>
      <c r="F1125" s="322"/>
      <c r="G1125" s="315"/>
    </row>
    <row r="1126" spans="1:7" s="32" customFormat="1" x14ac:dyDescent="0.25">
      <c r="A1126" s="315"/>
      <c r="B1126" s="315"/>
      <c r="C1126" s="326"/>
      <c r="D1126" s="315"/>
      <c r="E1126" s="321"/>
      <c r="F1126" s="322"/>
      <c r="G1126" s="315"/>
    </row>
    <row r="1127" spans="1:7" s="32" customFormat="1" x14ac:dyDescent="0.25">
      <c r="A1127" s="315"/>
      <c r="B1127" s="315"/>
      <c r="C1127" s="326"/>
      <c r="D1127" s="315"/>
      <c r="E1127" s="321"/>
      <c r="F1127" s="322"/>
      <c r="G1127" s="315"/>
    </row>
    <row r="1128" spans="1:7" s="32" customFormat="1" x14ac:dyDescent="0.25">
      <c r="A1128" s="315"/>
      <c r="B1128" s="315"/>
      <c r="C1128" s="326"/>
      <c r="D1128" s="315"/>
      <c r="E1128" s="321"/>
      <c r="F1128" s="322"/>
      <c r="G1128" s="315"/>
    </row>
    <row r="1129" spans="1:7" s="32" customFormat="1" x14ac:dyDescent="0.25">
      <c r="A1129" s="315"/>
      <c r="B1129" s="315"/>
      <c r="C1129" s="326"/>
      <c r="D1129" s="315"/>
      <c r="E1129" s="321"/>
      <c r="F1129" s="322"/>
      <c r="G1129" s="315"/>
    </row>
    <row r="1130" spans="1:7" s="32" customFormat="1" x14ac:dyDescent="0.25">
      <c r="A1130" s="315"/>
      <c r="B1130" s="315"/>
      <c r="C1130" s="326"/>
      <c r="D1130" s="315"/>
      <c r="E1130" s="321"/>
      <c r="F1130" s="322"/>
      <c r="G1130" s="315"/>
    </row>
    <row r="1131" spans="1:7" s="32" customFormat="1" x14ac:dyDescent="0.25">
      <c r="A1131" s="315"/>
      <c r="B1131" s="315"/>
      <c r="C1131" s="326"/>
      <c r="D1131" s="315"/>
      <c r="E1131" s="321"/>
      <c r="F1131" s="322"/>
      <c r="G1131" s="315"/>
    </row>
    <row r="1132" spans="1:7" s="32" customFormat="1" x14ac:dyDescent="0.25">
      <c r="A1132" s="315"/>
      <c r="B1132" s="315"/>
      <c r="C1132" s="326"/>
      <c r="D1132" s="315"/>
      <c r="E1132" s="321"/>
      <c r="F1132" s="322"/>
      <c r="G1132" s="315"/>
    </row>
    <row r="1133" spans="1:7" s="32" customFormat="1" x14ac:dyDescent="0.25">
      <c r="A1133" s="315"/>
      <c r="B1133" s="315"/>
      <c r="C1133" s="326"/>
      <c r="D1133" s="315"/>
      <c r="E1133" s="321"/>
      <c r="F1133" s="322"/>
      <c r="G1133" s="315"/>
    </row>
    <row r="1134" spans="1:7" s="32" customFormat="1" x14ac:dyDescent="0.25">
      <c r="A1134" s="315"/>
      <c r="B1134" s="315"/>
      <c r="C1134" s="326"/>
      <c r="D1134" s="315"/>
      <c r="E1134" s="321"/>
      <c r="F1134" s="322"/>
      <c r="G1134" s="315"/>
    </row>
    <row r="1135" spans="1:7" s="32" customFormat="1" x14ac:dyDescent="0.25">
      <c r="A1135" s="315"/>
      <c r="B1135" s="315"/>
      <c r="C1135" s="326"/>
      <c r="D1135" s="315"/>
      <c r="E1135" s="321"/>
      <c r="F1135" s="322"/>
      <c r="G1135" s="315"/>
    </row>
    <row r="1136" spans="1:7" s="32" customFormat="1" x14ac:dyDescent="0.25">
      <c r="A1136" s="315"/>
      <c r="B1136" s="315"/>
      <c r="C1136" s="326"/>
      <c r="D1136" s="315"/>
      <c r="E1136" s="321"/>
      <c r="F1136" s="322"/>
      <c r="G1136" s="315"/>
    </row>
    <row r="1137" spans="1:7" s="32" customFormat="1" x14ac:dyDescent="0.25">
      <c r="A1137" s="315"/>
      <c r="B1137" s="315"/>
      <c r="C1137" s="326"/>
      <c r="D1137" s="315"/>
      <c r="E1137" s="321"/>
      <c r="F1137" s="322"/>
      <c r="G1137" s="315"/>
    </row>
    <row r="1138" spans="1:7" s="32" customFormat="1" x14ac:dyDescent="0.25">
      <c r="A1138" s="315"/>
      <c r="B1138" s="315"/>
      <c r="C1138" s="326"/>
      <c r="D1138" s="315"/>
      <c r="E1138" s="321"/>
      <c r="F1138" s="322"/>
      <c r="G1138" s="315"/>
    </row>
    <row r="1139" spans="1:7" s="32" customFormat="1" x14ac:dyDescent="0.25">
      <c r="A1139" s="315"/>
      <c r="B1139" s="315"/>
      <c r="C1139" s="326"/>
      <c r="D1139" s="315"/>
      <c r="E1139" s="321"/>
      <c r="F1139" s="322"/>
      <c r="G1139" s="315"/>
    </row>
    <row r="1140" spans="1:7" s="32" customFormat="1" x14ac:dyDescent="0.25">
      <c r="A1140" s="315"/>
      <c r="B1140" s="315"/>
      <c r="C1140" s="326"/>
      <c r="D1140" s="315"/>
      <c r="E1140" s="321"/>
      <c r="F1140" s="322"/>
      <c r="G1140" s="315"/>
    </row>
    <row r="1141" spans="1:7" s="32" customFormat="1" x14ac:dyDescent="0.25">
      <c r="A1141" s="315"/>
      <c r="B1141" s="315"/>
      <c r="C1141" s="326"/>
      <c r="D1141" s="315"/>
      <c r="E1141" s="321"/>
      <c r="F1141" s="322"/>
      <c r="G1141" s="315"/>
    </row>
    <row r="1142" spans="1:7" s="32" customFormat="1" x14ac:dyDescent="0.25">
      <c r="A1142" s="315"/>
      <c r="B1142" s="315"/>
      <c r="C1142" s="326"/>
      <c r="D1142" s="315"/>
      <c r="E1142" s="321"/>
      <c r="F1142" s="322"/>
      <c r="G1142" s="315"/>
    </row>
    <row r="1143" spans="1:7" s="32" customFormat="1" x14ac:dyDescent="0.25">
      <c r="A1143" s="315"/>
      <c r="B1143" s="315"/>
      <c r="C1143" s="326"/>
      <c r="D1143" s="315"/>
      <c r="E1143" s="321"/>
      <c r="F1143" s="322"/>
      <c r="G1143" s="315"/>
    </row>
    <row r="1144" spans="1:7" s="32" customFormat="1" x14ac:dyDescent="0.25">
      <c r="A1144" s="315"/>
      <c r="B1144" s="315"/>
      <c r="C1144" s="326"/>
      <c r="D1144" s="315"/>
      <c r="E1144" s="321"/>
      <c r="F1144" s="322"/>
      <c r="G1144" s="315"/>
    </row>
    <row r="1145" spans="1:7" s="32" customFormat="1" x14ac:dyDescent="0.25">
      <c r="A1145" s="315"/>
      <c r="B1145" s="315"/>
      <c r="C1145" s="326"/>
      <c r="D1145" s="315"/>
      <c r="E1145" s="321"/>
      <c r="F1145" s="322"/>
      <c r="G1145" s="315"/>
    </row>
    <row r="1146" spans="1:7" s="32" customFormat="1" x14ac:dyDescent="0.25">
      <c r="A1146" s="315"/>
      <c r="B1146" s="315"/>
      <c r="C1146" s="326"/>
      <c r="D1146" s="315"/>
      <c r="E1146" s="321"/>
      <c r="F1146" s="322"/>
      <c r="G1146" s="315"/>
    </row>
    <row r="1147" spans="1:7" s="32" customFormat="1" x14ac:dyDescent="0.25">
      <c r="A1147" s="315"/>
      <c r="B1147" s="315"/>
      <c r="C1147" s="326"/>
      <c r="D1147" s="315"/>
      <c r="E1147" s="321"/>
      <c r="F1147" s="322"/>
      <c r="G1147" s="315"/>
    </row>
    <row r="1148" spans="1:7" s="32" customFormat="1" x14ac:dyDescent="0.25">
      <c r="A1148" s="315"/>
      <c r="B1148" s="315"/>
      <c r="C1148" s="326"/>
      <c r="D1148" s="315"/>
      <c r="E1148" s="321"/>
      <c r="F1148" s="322"/>
      <c r="G1148" s="315"/>
    </row>
    <row r="1149" spans="1:7" s="32" customFormat="1" x14ac:dyDescent="0.25">
      <c r="A1149" s="315"/>
      <c r="B1149" s="315"/>
      <c r="C1149" s="326"/>
      <c r="D1149" s="315"/>
      <c r="E1149" s="321"/>
      <c r="F1149" s="322"/>
      <c r="G1149" s="315"/>
    </row>
    <row r="1150" spans="1:7" s="32" customFormat="1" x14ac:dyDescent="0.25">
      <c r="A1150" s="315"/>
      <c r="B1150" s="315"/>
      <c r="C1150" s="326"/>
      <c r="D1150" s="315"/>
      <c r="E1150" s="321"/>
      <c r="F1150" s="322"/>
      <c r="G1150" s="315"/>
    </row>
    <row r="1151" spans="1:7" s="32" customFormat="1" x14ac:dyDescent="0.25">
      <c r="A1151" s="315"/>
      <c r="B1151" s="315"/>
      <c r="C1151" s="326"/>
      <c r="D1151" s="315"/>
      <c r="E1151" s="321"/>
      <c r="F1151" s="322"/>
      <c r="G1151" s="315"/>
    </row>
    <row r="1152" spans="1:7" s="32" customFormat="1" x14ac:dyDescent="0.25">
      <c r="A1152" s="315"/>
      <c r="B1152" s="315"/>
      <c r="C1152" s="326"/>
      <c r="D1152" s="315"/>
      <c r="E1152" s="321"/>
      <c r="F1152" s="322"/>
      <c r="G1152" s="315"/>
    </row>
    <row r="1153" spans="1:7" s="32" customFormat="1" x14ac:dyDescent="0.25">
      <c r="A1153" s="315"/>
      <c r="B1153" s="315"/>
      <c r="C1153" s="326"/>
      <c r="D1153" s="315"/>
      <c r="E1153" s="321"/>
      <c r="F1153" s="322"/>
      <c r="G1153" s="315"/>
    </row>
    <row r="1154" spans="1:7" s="32" customFormat="1" x14ac:dyDescent="0.25">
      <c r="A1154" s="315"/>
      <c r="B1154" s="315"/>
      <c r="C1154" s="326"/>
      <c r="D1154" s="315"/>
      <c r="E1154" s="321"/>
      <c r="F1154" s="322"/>
      <c r="G1154" s="315"/>
    </row>
    <row r="1155" spans="1:7" s="32" customFormat="1" x14ac:dyDescent="0.25">
      <c r="A1155" s="315"/>
      <c r="B1155" s="315"/>
      <c r="C1155" s="326"/>
      <c r="D1155" s="315"/>
      <c r="E1155" s="321"/>
      <c r="F1155" s="322"/>
      <c r="G1155" s="315"/>
    </row>
    <row r="1156" spans="1:7" s="32" customFormat="1" x14ac:dyDescent="0.25">
      <c r="A1156" s="315"/>
      <c r="B1156" s="315"/>
      <c r="C1156" s="326"/>
      <c r="D1156" s="315"/>
      <c r="E1156" s="321"/>
      <c r="F1156" s="322"/>
      <c r="G1156" s="315"/>
    </row>
    <row r="1157" spans="1:7" s="32" customFormat="1" x14ac:dyDescent="0.25">
      <c r="A1157" s="315"/>
      <c r="B1157" s="315"/>
      <c r="C1157" s="326"/>
      <c r="D1157" s="315"/>
      <c r="E1157" s="321"/>
      <c r="F1157" s="322"/>
      <c r="G1157" s="315"/>
    </row>
    <row r="1158" spans="1:7" s="32" customFormat="1" x14ac:dyDescent="0.25">
      <c r="A1158" s="315"/>
      <c r="B1158" s="315"/>
      <c r="C1158" s="326"/>
      <c r="D1158" s="315"/>
      <c r="E1158" s="321"/>
      <c r="F1158" s="322"/>
      <c r="G1158" s="315"/>
    </row>
    <row r="1159" spans="1:7" s="32" customFormat="1" x14ac:dyDescent="0.25">
      <c r="A1159" s="315"/>
      <c r="B1159" s="315"/>
      <c r="C1159" s="326"/>
      <c r="D1159" s="315"/>
      <c r="E1159" s="321"/>
      <c r="F1159" s="322"/>
      <c r="G1159" s="315"/>
    </row>
    <row r="1160" spans="1:7" s="32" customFormat="1" x14ac:dyDescent="0.25">
      <c r="A1160" s="315"/>
      <c r="B1160" s="315"/>
      <c r="C1160" s="326"/>
      <c r="D1160" s="315"/>
      <c r="E1160" s="321"/>
      <c r="F1160" s="322"/>
      <c r="G1160" s="315"/>
    </row>
    <row r="1161" spans="1:7" s="32" customFormat="1" x14ac:dyDescent="0.25">
      <c r="A1161" s="315"/>
      <c r="B1161" s="315"/>
      <c r="C1161" s="326"/>
      <c r="D1161" s="315"/>
      <c r="E1161" s="321"/>
      <c r="F1161" s="322"/>
      <c r="G1161" s="315"/>
    </row>
    <row r="1162" spans="1:7" s="32" customFormat="1" x14ac:dyDescent="0.25">
      <c r="A1162" s="315"/>
      <c r="B1162" s="315"/>
      <c r="C1162" s="326"/>
      <c r="D1162" s="315"/>
      <c r="E1162" s="321"/>
      <c r="F1162" s="322"/>
      <c r="G1162" s="315"/>
    </row>
    <row r="1163" spans="1:7" s="32" customFormat="1" x14ac:dyDescent="0.25">
      <c r="A1163" s="315"/>
      <c r="B1163" s="315"/>
      <c r="C1163" s="326"/>
      <c r="D1163" s="315"/>
      <c r="E1163" s="321"/>
      <c r="F1163" s="322"/>
      <c r="G1163" s="315"/>
    </row>
    <row r="1164" spans="1:7" s="32" customFormat="1" x14ac:dyDescent="0.25">
      <c r="A1164" s="315"/>
      <c r="B1164" s="315"/>
      <c r="C1164" s="326"/>
      <c r="D1164" s="315"/>
      <c r="E1164" s="321"/>
      <c r="F1164" s="322"/>
      <c r="G1164" s="315"/>
    </row>
    <row r="1165" spans="1:7" s="32" customFormat="1" x14ac:dyDescent="0.25">
      <c r="A1165" s="315"/>
      <c r="B1165" s="315"/>
      <c r="C1165" s="326"/>
      <c r="D1165" s="315"/>
      <c r="E1165" s="321"/>
      <c r="F1165" s="322"/>
      <c r="G1165" s="315"/>
    </row>
    <row r="1166" spans="1:7" s="32" customFormat="1" x14ac:dyDescent="0.25">
      <c r="A1166" s="315"/>
      <c r="B1166" s="315"/>
      <c r="C1166" s="326"/>
      <c r="D1166" s="315"/>
      <c r="E1166" s="321"/>
      <c r="F1166" s="322"/>
      <c r="G1166" s="315"/>
    </row>
    <row r="1167" spans="1:7" s="32" customFormat="1" x14ac:dyDescent="0.25">
      <c r="A1167" s="315"/>
      <c r="B1167" s="315"/>
      <c r="C1167" s="326"/>
      <c r="D1167" s="315"/>
      <c r="E1167" s="321"/>
      <c r="F1167" s="322"/>
      <c r="G1167" s="315"/>
    </row>
    <row r="1168" spans="1:7" s="32" customFormat="1" x14ac:dyDescent="0.25">
      <c r="A1168" s="315"/>
      <c r="B1168" s="315"/>
      <c r="C1168" s="326"/>
      <c r="D1168" s="315"/>
      <c r="E1168" s="321"/>
      <c r="F1168" s="322"/>
      <c r="G1168" s="315"/>
    </row>
    <row r="1169" spans="1:7" s="32" customFormat="1" x14ac:dyDescent="0.25">
      <c r="A1169" s="315"/>
      <c r="B1169" s="315"/>
      <c r="C1169" s="326"/>
      <c r="D1169" s="315"/>
      <c r="E1169" s="321"/>
      <c r="F1169" s="322"/>
      <c r="G1169" s="315"/>
    </row>
    <row r="1170" spans="1:7" s="32" customFormat="1" x14ac:dyDescent="0.25">
      <c r="A1170" s="315"/>
      <c r="B1170" s="315"/>
      <c r="C1170" s="326"/>
      <c r="D1170" s="315"/>
      <c r="E1170" s="321"/>
      <c r="F1170" s="322"/>
      <c r="G1170" s="315"/>
    </row>
    <row r="1171" spans="1:7" s="32" customFormat="1" x14ac:dyDescent="0.25">
      <c r="A1171" s="315"/>
      <c r="B1171" s="315"/>
      <c r="C1171" s="326"/>
      <c r="D1171" s="315"/>
      <c r="E1171" s="321"/>
      <c r="F1171" s="322"/>
      <c r="G1171" s="315"/>
    </row>
    <row r="1172" spans="1:7" s="32" customFormat="1" x14ac:dyDescent="0.25">
      <c r="A1172" s="315"/>
      <c r="B1172" s="315"/>
      <c r="C1172" s="326"/>
      <c r="D1172" s="315"/>
      <c r="E1172" s="321"/>
      <c r="F1172" s="322"/>
      <c r="G1172" s="315"/>
    </row>
    <row r="1173" spans="1:7" s="32" customFormat="1" x14ac:dyDescent="0.25">
      <c r="A1173" s="315"/>
      <c r="B1173" s="315"/>
      <c r="C1173" s="326"/>
      <c r="D1173" s="315"/>
      <c r="E1173" s="321"/>
      <c r="F1173" s="322"/>
      <c r="G1173" s="315"/>
    </row>
    <row r="1174" spans="1:7" s="32" customFormat="1" x14ac:dyDescent="0.25">
      <c r="A1174" s="315"/>
      <c r="B1174" s="315"/>
      <c r="C1174" s="326"/>
      <c r="D1174" s="315"/>
      <c r="E1174" s="321"/>
      <c r="F1174" s="322"/>
      <c r="G1174" s="315"/>
    </row>
    <row r="1175" spans="1:7" s="32" customFormat="1" x14ac:dyDescent="0.25">
      <c r="A1175" s="315"/>
      <c r="B1175" s="315"/>
      <c r="C1175" s="326"/>
      <c r="D1175" s="315"/>
      <c r="E1175" s="321"/>
      <c r="F1175" s="322"/>
      <c r="G1175" s="315"/>
    </row>
    <row r="1176" spans="1:7" s="32" customFormat="1" x14ac:dyDescent="0.25">
      <c r="A1176" s="315"/>
      <c r="B1176" s="315"/>
      <c r="C1176" s="326"/>
      <c r="D1176" s="315"/>
      <c r="E1176" s="321"/>
      <c r="F1176" s="322"/>
      <c r="G1176" s="315"/>
    </row>
    <row r="1177" spans="1:7" s="32" customFormat="1" x14ac:dyDescent="0.25">
      <c r="A1177" s="315"/>
      <c r="B1177" s="315"/>
      <c r="C1177" s="326"/>
      <c r="D1177" s="315"/>
      <c r="E1177" s="321"/>
      <c r="F1177" s="322"/>
      <c r="G1177" s="315"/>
    </row>
    <row r="1178" spans="1:7" s="32" customFormat="1" x14ac:dyDescent="0.25">
      <c r="A1178" s="315"/>
      <c r="B1178" s="315"/>
      <c r="C1178" s="326"/>
      <c r="D1178" s="315"/>
      <c r="E1178" s="321"/>
      <c r="F1178" s="322"/>
      <c r="G1178" s="315"/>
    </row>
    <row r="1179" spans="1:7" s="32" customFormat="1" x14ac:dyDescent="0.25">
      <c r="A1179" s="315"/>
      <c r="B1179" s="315"/>
      <c r="C1179" s="326"/>
      <c r="D1179" s="315"/>
      <c r="E1179" s="321"/>
      <c r="F1179" s="322"/>
      <c r="G1179" s="315"/>
    </row>
    <row r="1180" spans="1:7" s="32" customFormat="1" x14ac:dyDescent="0.25">
      <c r="A1180" s="315"/>
      <c r="B1180" s="315"/>
      <c r="C1180" s="326"/>
      <c r="D1180" s="315"/>
      <c r="E1180" s="321"/>
      <c r="F1180" s="322"/>
      <c r="G1180" s="315"/>
    </row>
    <row r="1181" spans="1:7" s="32" customFormat="1" x14ac:dyDescent="0.25">
      <c r="A1181" s="315"/>
      <c r="B1181" s="315"/>
      <c r="C1181" s="326"/>
      <c r="D1181" s="315"/>
      <c r="E1181" s="321"/>
      <c r="F1181" s="322"/>
      <c r="G1181" s="315"/>
    </row>
    <row r="1182" spans="1:7" s="32" customFormat="1" x14ac:dyDescent="0.25">
      <c r="A1182" s="315"/>
      <c r="B1182" s="315"/>
      <c r="C1182" s="326"/>
      <c r="D1182" s="315"/>
      <c r="E1182" s="321"/>
      <c r="F1182" s="322"/>
      <c r="G1182" s="315"/>
    </row>
    <row r="1183" spans="1:7" s="32" customFormat="1" x14ac:dyDescent="0.25">
      <c r="A1183" s="315"/>
      <c r="B1183" s="315"/>
      <c r="C1183" s="326"/>
      <c r="D1183" s="315"/>
      <c r="E1183" s="321"/>
      <c r="F1183" s="322"/>
      <c r="G1183" s="315"/>
    </row>
    <row r="1184" spans="1:7" s="32" customFormat="1" x14ac:dyDescent="0.25">
      <c r="A1184" s="315"/>
      <c r="B1184" s="315"/>
      <c r="C1184" s="326"/>
      <c r="D1184" s="315"/>
      <c r="E1184" s="321"/>
      <c r="F1184" s="322"/>
      <c r="G1184" s="315"/>
    </row>
    <row r="1185" spans="1:7" s="32" customFormat="1" x14ac:dyDescent="0.25">
      <c r="A1185" s="315"/>
      <c r="B1185" s="315"/>
      <c r="C1185" s="326"/>
      <c r="D1185" s="315"/>
      <c r="E1185" s="321"/>
      <c r="F1185" s="322"/>
      <c r="G1185" s="315"/>
    </row>
    <row r="1186" spans="1:7" s="32" customFormat="1" x14ac:dyDescent="0.25">
      <c r="A1186" s="315"/>
      <c r="B1186" s="315"/>
      <c r="C1186" s="326"/>
      <c r="D1186" s="315"/>
      <c r="E1186" s="321"/>
      <c r="F1186" s="322"/>
      <c r="G1186" s="315"/>
    </row>
    <row r="1187" spans="1:7" s="32" customFormat="1" x14ac:dyDescent="0.25">
      <c r="A1187" s="315"/>
      <c r="B1187" s="315"/>
      <c r="C1187" s="326"/>
      <c r="D1187" s="315"/>
      <c r="E1187" s="321"/>
      <c r="F1187" s="322"/>
      <c r="G1187" s="315"/>
    </row>
    <row r="1188" spans="1:7" s="32" customFormat="1" x14ac:dyDescent="0.25">
      <c r="A1188" s="315"/>
      <c r="B1188" s="315"/>
      <c r="C1188" s="326"/>
      <c r="D1188" s="315"/>
      <c r="E1188" s="321"/>
      <c r="F1188" s="322"/>
      <c r="G1188" s="315"/>
    </row>
    <row r="1189" spans="1:7" s="32" customFormat="1" x14ac:dyDescent="0.25">
      <c r="A1189" s="315"/>
      <c r="B1189" s="315"/>
      <c r="C1189" s="326"/>
      <c r="D1189" s="315"/>
      <c r="E1189" s="321"/>
      <c r="F1189" s="322"/>
      <c r="G1189" s="315"/>
    </row>
    <row r="1190" spans="1:7" s="32" customFormat="1" x14ac:dyDescent="0.25">
      <c r="A1190" s="315"/>
      <c r="B1190" s="315"/>
      <c r="C1190" s="326"/>
      <c r="D1190" s="315"/>
      <c r="E1190" s="321"/>
      <c r="F1190" s="322"/>
      <c r="G1190" s="315"/>
    </row>
    <row r="1191" spans="1:7" s="32" customFormat="1" x14ac:dyDescent="0.25">
      <c r="A1191" s="315"/>
      <c r="B1191" s="315"/>
      <c r="C1191" s="326"/>
      <c r="D1191" s="315"/>
      <c r="E1191" s="321"/>
      <c r="F1191" s="322"/>
      <c r="G1191" s="315"/>
    </row>
    <row r="1192" spans="1:7" s="32" customFormat="1" x14ac:dyDescent="0.25">
      <c r="A1192" s="315"/>
      <c r="B1192" s="315"/>
      <c r="C1192" s="326"/>
      <c r="D1192" s="315"/>
      <c r="E1192" s="321"/>
      <c r="F1192" s="322"/>
      <c r="G1192" s="315"/>
    </row>
    <row r="1193" spans="1:7" s="32" customFormat="1" x14ac:dyDescent="0.25">
      <c r="A1193" s="315"/>
      <c r="B1193" s="315"/>
      <c r="C1193" s="326"/>
      <c r="D1193" s="315"/>
      <c r="E1193" s="321"/>
      <c r="F1193" s="322"/>
      <c r="G1193" s="315"/>
    </row>
    <row r="1194" spans="1:7" s="32" customFormat="1" x14ac:dyDescent="0.25">
      <c r="A1194" s="315"/>
      <c r="B1194" s="315"/>
      <c r="C1194" s="326"/>
      <c r="D1194" s="315"/>
      <c r="E1194" s="321"/>
      <c r="F1194" s="322"/>
      <c r="G1194" s="315"/>
    </row>
    <row r="1195" spans="1:7" s="32" customFormat="1" x14ac:dyDescent="0.25">
      <c r="A1195" s="315"/>
      <c r="B1195" s="315"/>
      <c r="C1195" s="326"/>
      <c r="D1195" s="315"/>
      <c r="E1195" s="321"/>
      <c r="F1195" s="322"/>
      <c r="G1195" s="315"/>
    </row>
    <row r="1196" spans="1:7" s="32" customFormat="1" x14ac:dyDescent="0.25">
      <c r="A1196" s="315"/>
      <c r="B1196" s="315"/>
      <c r="C1196" s="326"/>
      <c r="D1196" s="315"/>
      <c r="E1196" s="321"/>
      <c r="F1196" s="322"/>
      <c r="G1196" s="315"/>
    </row>
    <row r="1197" spans="1:7" s="32" customFormat="1" x14ac:dyDescent="0.25">
      <c r="A1197" s="315"/>
      <c r="B1197" s="315"/>
      <c r="C1197" s="326"/>
      <c r="D1197" s="315"/>
      <c r="E1197" s="321"/>
      <c r="F1197" s="322"/>
      <c r="G1197" s="315"/>
    </row>
    <row r="1198" spans="1:7" s="32" customFormat="1" x14ac:dyDescent="0.25">
      <c r="A1198" s="315"/>
      <c r="B1198" s="315"/>
      <c r="C1198" s="326"/>
      <c r="D1198" s="315"/>
      <c r="E1198" s="321"/>
      <c r="F1198" s="322"/>
      <c r="G1198" s="315"/>
    </row>
    <row r="1199" spans="1:7" s="32" customFormat="1" x14ac:dyDescent="0.25">
      <c r="A1199" s="315"/>
      <c r="B1199" s="315"/>
      <c r="C1199" s="326"/>
      <c r="D1199" s="315"/>
      <c r="E1199" s="321"/>
      <c r="F1199" s="322"/>
      <c r="G1199" s="315"/>
    </row>
    <row r="1200" spans="1:7" s="32" customFormat="1" x14ac:dyDescent="0.25">
      <c r="A1200" s="315"/>
      <c r="B1200" s="315"/>
      <c r="C1200" s="326"/>
      <c r="D1200" s="315"/>
      <c r="E1200" s="321"/>
      <c r="F1200" s="322"/>
      <c r="G1200" s="315"/>
    </row>
    <row r="1201" spans="1:7" s="32" customFormat="1" x14ac:dyDescent="0.25">
      <c r="A1201" s="315"/>
      <c r="B1201" s="315"/>
      <c r="C1201" s="326"/>
      <c r="D1201" s="315"/>
      <c r="E1201" s="321"/>
      <c r="F1201" s="322"/>
      <c r="G1201" s="315"/>
    </row>
    <row r="1202" spans="1:7" s="32" customFormat="1" x14ac:dyDescent="0.25">
      <c r="A1202" s="315"/>
      <c r="B1202" s="315"/>
      <c r="C1202" s="326"/>
      <c r="D1202" s="315"/>
      <c r="E1202" s="321"/>
      <c r="F1202" s="322"/>
      <c r="G1202" s="315"/>
    </row>
    <row r="1203" spans="1:7" s="32" customFormat="1" x14ac:dyDescent="0.25">
      <c r="A1203" s="315"/>
      <c r="B1203" s="315"/>
      <c r="C1203" s="326"/>
      <c r="D1203" s="315"/>
      <c r="E1203" s="321"/>
      <c r="F1203" s="322"/>
      <c r="G1203" s="315"/>
    </row>
    <row r="1204" spans="1:7" s="32" customFormat="1" x14ac:dyDescent="0.25">
      <c r="A1204" s="315"/>
      <c r="B1204" s="315"/>
      <c r="C1204" s="326"/>
      <c r="D1204" s="315"/>
      <c r="E1204" s="321"/>
      <c r="F1204" s="322"/>
      <c r="G1204" s="315"/>
    </row>
    <row r="1205" spans="1:7" s="32" customFormat="1" x14ac:dyDescent="0.25">
      <c r="A1205" s="315"/>
      <c r="B1205" s="315"/>
      <c r="C1205" s="326"/>
      <c r="D1205" s="315"/>
      <c r="E1205" s="321"/>
      <c r="F1205" s="322"/>
      <c r="G1205" s="315"/>
    </row>
    <row r="1206" spans="1:7" s="32" customFormat="1" x14ac:dyDescent="0.25">
      <c r="A1206" s="315"/>
      <c r="B1206" s="315"/>
      <c r="C1206" s="326"/>
      <c r="D1206" s="315"/>
      <c r="E1206" s="321"/>
      <c r="F1206" s="322"/>
      <c r="G1206" s="315"/>
    </row>
    <row r="1207" spans="1:7" s="32" customFormat="1" x14ac:dyDescent="0.25">
      <c r="A1207" s="315"/>
      <c r="B1207" s="315"/>
      <c r="C1207" s="326"/>
      <c r="D1207" s="315"/>
      <c r="E1207" s="321"/>
      <c r="F1207" s="322"/>
      <c r="G1207" s="315"/>
    </row>
    <row r="1208" spans="1:7" s="32" customFormat="1" x14ac:dyDescent="0.25">
      <c r="A1208" s="315"/>
      <c r="B1208" s="315"/>
      <c r="C1208" s="326"/>
      <c r="D1208" s="315"/>
      <c r="E1208" s="321"/>
      <c r="F1208" s="322"/>
      <c r="G1208" s="315"/>
    </row>
    <row r="1209" spans="1:7" s="32" customFormat="1" x14ac:dyDescent="0.25">
      <c r="A1209" s="315"/>
      <c r="B1209" s="315"/>
      <c r="C1209" s="326"/>
      <c r="D1209" s="315"/>
      <c r="E1209" s="321"/>
      <c r="F1209" s="322"/>
      <c r="G1209" s="315"/>
    </row>
    <row r="1210" spans="1:7" s="32" customFormat="1" x14ac:dyDescent="0.25">
      <c r="A1210" s="315"/>
      <c r="B1210" s="315"/>
      <c r="C1210" s="326"/>
      <c r="D1210" s="315"/>
      <c r="E1210" s="321"/>
      <c r="F1210" s="322"/>
      <c r="G1210" s="315"/>
    </row>
    <row r="1211" spans="1:7" s="32" customFormat="1" x14ac:dyDescent="0.25">
      <c r="A1211" s="315"/>
      <c r="B1211" s="315"/>
      <c r="C1211" s="326"/>
      <c r="D1211" s="315"/>
      <c r="E1211" s="321"/>
      <c r="F1211" s="322"/>
      <c r="G1211" s="315"/>
    </row>
    <row r="1212" spans="1:7" s="32" customFormat="1" x14ac:dyDescent="0.25">
      <c r="A1212" s="315"/>
      <c r="B1212" s="315"/>
      <c r="C1212" s="326"/>
      <c r="D1212" s="315"/>
      <c r="E1212" s="321"/>
      <c r="F1212" s="322"/>
      <c r="G1212" s="315"/>
    </row>
    <row r="1213" spans="1:7" s="32" customFormat="1" x14ac:dyDescent="0.25">
      <c r="A1213" s="315"/>
      <c r="B1213" s="315"/>
      <c r="C1213" s="326"/>
      <c r="D1213" s="315"/>
      <c r="E1213" s="321"/>
      <c r="F1213" s="322"/>
      <c r="G1213" s="315"/>
    </row>
    <row r="1214" spans="1:7" s="32" customFormat="1" x14ac:dyDescent="0.25">
      <c r="A1214" s="315"/>
      <c r="B1214" s="315"/>
      <c r="C1214" s="326"/>
      <c r="D1214" s="315"/>
      <c r="E1214" s="321"/>
      <c r="F1214" s="322"/>
      <c r="G1214" s="315"/>
    </row>
    <row r="1215" spans="1:7" s="32" customFormat="1" x14ac:dyDescent="0.25">
      <c r="A1215" s="315"/>
      <c r="B1215" s="315"/>
      <c r="C1215" s="326"/>
      <c r="D1215" s="315"/>
      <c r="E1215" s="321"/>
      <c r="F1215" s="322"/>
      <c r="G1215" s="315"/>
    </row>
    <row r="1216" spans="1:7" s="32" customFormat="1" x14ac:dyDescent="0.25">
      <c r="A1216" s="315"/>
      <c r="B1216" s="315"/>
      <c r="C1216" s="326"/>
      <c r="D1216" s="315"/>
      <c r="E1216" s="321"/>
      <c r="F1216" s="322"/>
      <c r="G1216" s="315"/>
    </row>
    <row r="1217" spans="1:7" s="32" customFormat="1" x14ac:dyDescent="0.25">
      <c r="A1217" s="315"/>
      <c r="B1217" s="315"/>
      <c r="C1217" s="326"/>
      <c r="D1217" s="315"/>
      <c r="E1217" s="321"/>
      <c r="F1217" s="322"/>
      <c r="G1217" s="315"/>
    </row>
    <row r="1218" spans="1:7" s="32" customFormat="1" x14ac:dyDescent="0.25">
      <c r="A1218" s="315"/>
      <c r="B1218" s="315"/>
      <c r="C1218" s="326"/>
      <c r="D1218" s="315"/>
      <c r="E1218" s="321"/>
      <c r="F1218" s="322"/>
      <c r="G1218" s="315"/>
    </row>
    <row r="1219" spans="1:7" s="32" customFormat="1" x14ac:dyDescent="0.25">
      <c r="A1219" s="315"/>
      <c r="B1219" s="315"/>
      <c r="C1219" s="326"/>
      <c r="D1219" s="315"/>
      <c r="E1219" s="321"/>
      <c r="F1219" s="322"/>
      <c r="G1219" s="315"/>
    </row>
    <row r="1220" spans="1:7" s="32" customFormat="1" x14ac:dyDescent="0.25">
      <c r="A1220" s="315"/>
      <c r="B1220" s="315"/>
      <c r="C1220" s="326"/>
      <c r="D1220" s="315"/>
      <c r="E1220" s="321"/>
      <c r="F1220" s="322"/>
      <c r="G1220" s="315"/>
    </row>
    <row r="1221" spans="1:7" s="32" customFormat="1" x14ac:dyDescent="0.25">
      <c r="A1221" s="315"/>
      <c r="B1221" s="315"/>
      <c r="C1221" s="326"/>
      <c r="D1221" s="315"/>
      <c r="E1221" s="321"/>
      <c r="F1221" s="322"/>
      <c r="G1221" s="315"/>
    </row>
    <row r="1222" spans="1:7" s="32" customFormat="1" x14ac:dyDescent="0.25">
      <c r="A1222" s="315"/>
      <c r="B1222" s="315"/>
      <c r="C1222" s="326"/>
      <c r="D1222" s="315"/>
      <c r="E1222" s="321"/>
      <c r="F1222" s="322"/>
      <c r="G1222" s="315"/>
    </row>
    <row r="1223" spans="1:7" s="32" customFormat="1" x14ac:dyDescent="0.25">
      <c r="A1223" s="315"/>
      <c r="B1223" s="315"/>
      <c r="C1223" s="326"/>
      <c r="D1223" s="315"/>
      <c r="E1223" s="321"/>
      <c r="F1223" s="322"/>
      <c r="G1223" s="315"/>
    </row>
    <row r="1224" spans="1:7" s="32" customFormat="1" x14ac:dyDescent="0.25">
      <c r="A1224" s="315"/>
      <c r="B1224" s="315"/>
      <c r="C1224" s="326"/>
      <c r="D1224" s="315"/>
      <c r="E1224" s="321"/>
      <c r="F1224" s="322"/>
      <c r="G1224" s="315"/>
    </row>
    <row r="1225" spans="1:7" s="32" customFormat="1" x14ac:dyDescent="0.25">
      <c r="A1225" s="315"/>
      <c r="B1225" s="315"/>
      <c r="C1225" s="326"/>
      <c r="D1225" s="315"/>
      <c r="E1225" s="321"/>
      <c r="F1225" s="322"/>
      <c r="G1225" s="315"/>
    </row>
    <row r="1226" spans="1:7" s="32" customFormat="1" x14ac:dyDescent="0.25">
      <c r="A1226" s="315"/>
      <c r="B1226" s="315"/>
      <c r="C1226" s="326"/>
      <c r="D1226" s="315"/>
      <c r="E1226" s="321"/>
      <c r="F1226" s="322"/>
      <c r="G1226" s="315"/>
    </row>
    <row r="1227" spans="1:7" s="32" customFormat="1" x14ac:dyDescent="0.25">
      <c r="A1227" s="315"/>
      <c r="B1227" s="315"/>
      <c r="C1227" s="326"/>
      <c r="D1227" s="315"/>
      <c r="E1227" s="321"/>
      <c r="F1227" s="322"/>
      <c r="G1227" s="315"/>
    </row>
    <row r="1228" spans="1:7" s="32" customFormat="1" x14ac:dyDescent="0.25">
      <c r="A1228" s="315"/>
      <c r="B1228" s="315"/>
      <c r="C1228" s="326"/>
      <c r="D1228" s="315"/>
      <c r="E1228" s="321"/>
      <c r="F1228" s="322"/>
      <c r="G1228" s="315"/>
    </row>
    <row r="1229" spans="1:7" s="32" customFormat="1" x14ac:dyDescent="0.25">
      <c r="A1229" s="315"/>
      <c r="B1229" s="315"/>
      <c r="C1229" s="326"/>
      <c r="D1229" s="315"/>
      <c r="E1229" s="321"/>
      <c r="F1229" s="322"/>
      <c r="G1229" s="315"/>
    </row>
    <row r="1230" spans="1:7" s="32" customFormat="1" x14ac:dyDescent="0.25">
      <c r="A1230" s="315"/>
      <c r="B1230" s="315"/>
      <c r="C1230" s="326"/>
      <c r="D1230" s="315"/>
      <c r="E1230" s="321"/>
      <c r="F1230" s="322"/>
      <c r="G1230" s="315"/>
    </row>
    <row r="1231" spans="1:7" s="32" customFormat="1" x14ac:dyDescent="0.25">
      <c r="A1231" s="315"/>
      <c r="B1231" s="315"/>
      <c r="C1231" s="326"/>
      <c r="D1231" s="315"/>
      <c r="E1231" s="321"/>
      <c r="F1231" s="322"/>
      <c r="G1231" s="315"/>
    </row>
    <row r="1232" spans="1:7" s="32" customFormat="1" x14ac:dyDescent="0.25">
      <c r="A1232" s="315"/>
      <c r="B1232" s="315"/>
      <c r="C1232" s="326"/>
      <c r="D1232" s="315"/>
      <c r="E1232" s="321"/>
      <c r="F1232" s="322"/>
      <c r="G1232" s="315"/>
    </row>
    <row r="1233" spans="1:7" s="32" customFormat="1" x14ac:dyDescent="0.25">
      <c r="A1233" s="315"/>
      <c r="B1233" s="315"/>
      <c r="C1233" s="326"/>
      <c r="D1233" s="315"/>
      <c r="E1233" s="321"/>
      <c r="F1233" s="322"/>
      <c r="G1233" s="315"/>
    </row>
    <row r="1234" spans="1:7" s="32" customFormat="1" x14ac:dyDescent="0.25">
      <c r="A1234" s="315"/>
      <c r="B1234" s="315"/>
      <c r="C1234" s="326"/>
      <c r="D1234" s="315"/>
      <c r="E1234" s="321"/>
      <c r="F1234" s="322"/>
      <c r="G1234" s="315"/>
    </row>
    <row r="1235" spans="1:7" s="32" customFormat="1" x14ac:dyDescent="0.25">
      <c r="A1235" s="315"/>
      <c r="B1235" s="315"/>
      <c r="C1235" s="326"/>
      <c r="D1235" s="315"/>
      <c r="E1235" s="321"/>
      <c r="F1235" s="322"/>
      <c r="G1235" s="315"/>
    </row>
    <row r="1236" spans="1:7" s="32" customFormat="1" x14ac:dyDescent="0.25">
      <c r="A1236" s="315"/>
      <c r="B1236" s="315"/>
      <c r="C1236" s="326"/>
      <c r="D1236" s="315"/>
      <c r="E1236" s="321"/>
      <c r="F1236" s="322"/>
      <c r="G1236" s="315"/>
    </row>
    <row r="1237" spans="1:7" s="32" customFormat="1" x14ac:dyDescent="0.25">
      <c r="A1237" s="315"/>
      <c r="B1237" s="315"/>
      <c r="C1237" s="326"/>
      <c r="D1237" s="315"/>
      <c r="E1237" s="321"/>
      <c r="F1237" s="322"/>
      <c r="G1237" s="315"/>
    </row>
    <row r="1238" spans="1:7" s="32" customFormat="1" x14ac:dyDescent="0.25">
      <c r="A1238" s="315"/>
      <c r="B1238" s="315"/>
      <c r="C1238" s="326"/>
      <c r="D1238" s="315"/>
      <c r="E1238" s="321"/>
      <c r="F1238" s="322"/>
      <c r="G1238" s="315"/>
    </row>
    <row r="1239" spans="1:7" s="32" customFormat="1" x14ac:dyDescent="0.25">
      <c r="A1239" s="315"/>
      <c r="B1239" s="315"/>
      <c r="C1239" s="326"/>
      <c r="D1239" s="315"/>
      <c r="E1239" s="321"/>
      <c r="F1239" s="322"/>
      <c r="G1239" s="315"/>
    </row>
    <row r="1240" spans="1:7" s="32" customFormat="1" x14ac:dyDescent="0.25">
      <c r="A1240" s="315"/>
      <c r="B1240" s="315"/>
      <c r="C1240" s="326"/>
      <c r="D1240" s="315"/>
      <c r="E1240" s="321"/>
      <c r="F1240" s="322"/>
      <c r="G1240" s="315"/>
    </row>
    <row r="1241" spans="1:7" s="32" customFormat="1" x14ac:dyDescent="0.25">
      <c r="A1241" s="315"/>
      <c r="B1241" s="315"/>
      <c r="C1241" s="326"/>
      <c r="D1241" s="315"/>
      <c r="E1241" s="321"/>
      <c r="F1241" s="322"/>
      <c r="G1241" s="315"/>
    </row>
    <row r="1242" spans="1:7" s="32" customFormat="1" x14ac:dyDescent="0.25">
      <c r="A1242" s="315"/>
      <c r="B1242" s="315"/>
      <c r="C1242" s="326"/>
      <c r="D1242" s="315"/>
      <c r="E1242" s="321"/>
      <c r="F1242" s="322"/>
      <c r="G1242" s="315"/>
    </row>
    <row r="1243" spans="1:7" s="32" customFormat="1" x14ac:dyDescent="0.25">
      <c r="A1243" s="315"/>
      <c r="B1243" s="315"/>
      <c r="C1243" s="326"/>
      <c r="D1243" s="315"/>
      <c r="E1243" s="321"/>
      <c r="F1243" s="322"/>
      <c r="G1243" s="315"/>
    </row>
    <row r="1244" spans="1:7" s="32" customFormat="1" x14ac:dyDescent="0.25">
      <c r="A1244" s="315"/>
      <c r="B1244" s="315"/>
      <c r="C1244" s="326"/>
      <c r="D1244" s="315"/>
      <c r="E1244" s="321"/>
      <c r="F1244" s="322"/>
      <c r="G1244" s="315"/>
    </row>
    <row r="1245" spans="1:7" s="32" customFormat="1" x14ac:dyDescent="0.25">
      <c r="A1245" s="315"/>
      <c r="B1245" s="315"/>
      <c r="C1245" s="326"/>
      <c r="D1245" s="315"/>
      <c r="E1245" s="321"/>
      <c r="F1245" s="322"/>
      <c r="G1245" s="315"/>
    </row>
    <row r="1246" spans="1:7" s="32" customFormat="1" x14ac:dyDescent="0.25">
      <c r="A1246" s="315"/>
      <c r="B1246" s="315"/>
      <c r="C1246" s="326"/>
      <c r="D1246" s="315"/>
      <c r="E1246" s="321"/>
      <c r="F1246" s="322"/>
      <c r="G1246" s="315"/>
    </row>
    <row r="1247" spans="1:7" s="32" customFormat="1" x14ac:dyDescent="0.25">
      <c r="A1247" s="315"/>
      <c r="B1247" s="315"/>
      <c r="C1247" s="326"/>
      <c r="D1247" s="315"/>
      <c r="E1247" s="321"/>
      <c r="F1247" s="322"/>
      <c r="G1247" s="315"/>
    </row>
    <row r="1248" spans="1:7" s="32" customFormat="1" x14ac:dyDescent="0.25">
      <c r="A1248" s="315"/>
      <c r="B1248" s="315"/>
      <c r="C1248" s="326"/>
      <c r="D1248" s="315"/>
      <c r="E1248" s="321"/>
      <c r="F1248" s="322"/>
      <c r="G1248" s="315"/>
    </row>
    <row r="1249" spans="1:7" s="32" customFormat="1" x14ac:dyDescent="0.25">
      <c r="A1249" s="315"/>
      <c r="B1249" s="315"/>
      <c r="C1249" s="326"/>
      <c r="D1249" s="315"/>
      <c r="E1249" s="321"/>
      <c r="F1249" s="322"/>
      <c r="G1249" s="315"/>
    </row>
    <row r="1250" spans="1:7" s="32" customFormat="1" x14ac:dyDescent="0.25">
      <c r="A1250" s="315"/>
      <c r="B1250" s="315"/>
      <c r="C1250" s="326"/>
      <c r="D1250" s="315"/>
      <c r="E1250" s="321"/>
      <c r="F1250" s="322"/>
      <c r="G1250" s="315"/>
    </row>
    <row r="1251" spans="1:7" s="32" customFormat="1" x14ac:dyDescent="0.25">
      <c r="A1251" s="315"/>
      <c r="B1251" s="315"/>
      <c r="C1251" s="326"/>
      <c r="D1251" s="315"/>
      <c r="E1251" s="321"/>
      <c r="F1251" s="322"/>
      <c r="G1251" s="315"/>
    </row>
    <row r="1252" spans="1:7" s="32" customFormat="1" x14ac:dyDescent="0.25">
      <c r="A1252" s="315"/>
      <c r="B1252" s="315"/>
      <c r="C1252" s="326"/>
      <c r="D1252" s="315"/>
      <c r="E1252" s="321"/>
      <c r="F1252" s="322"/>
      <c r="G1252" s="315"/>
    </row>
    <row r="1253" spans="1:7" s="32" customFormat="1" x14ac:dyDescent="0.25">
      <c r="A1253" s="315"/>
      <c r="B1253" s="315"/>
      <c r="C1253" s="326"/>
      <c r="D1253" s="315"/>
      <c r="E1253" s="321"/>
      <c r="F1253" s="322"/>
      <c r="G1253" s="315"/>
    </row>
    <row r="1254" spans="1:7" s="32" customFormat="1" x14ac:dyDescent="0.25">
      <c r="A1254" s="315"/>
      <c r="B1254" s="315"/>
      <c r="C1254" s="326"/>
      <c r="D1254" s="315"/>
      <c r="E1254" s="321"/>
      <c r="F1254" s="322"/>
      <c r="G1254" s="315"/>
    </row>
    <row r="1255" spans="1:7" s="32" customFormat="1" x14ac:dyDescent="0.25">
      <c r="A1255" s="315"/>
      <c r="B1255" s="315"/>
      <c r="C1255" s="326"/>
      <c r="D1255" s="315"/>
      <c r="E1255" s="321"/>
      <c r="F1255" s="322"/>
      <c r="G1255" s="315"/>
    </row>
    <row r="1256" spans="1:7" s="32" customFormat="1" x14ac:dyDescent="0.25">
      <c r="A1256" s="315"/>
      <c r="B1256" s="315"/>
      <c r="C1256" s="326"/>
      <c r="D1256" s="315"/>
      <c r="E1256" s="321"/>
      <c r="F1256" s="322"/>
      <c r="G1256" s="315"/>
    </row>
    <row r="1257" spans="1:7" s="32" customFormat="1" x14ac:dyDescent="0.25">
      <c r="A1257" s="315"/>
      <c r="B1257" s="315"/>
      <c r="C1257" s="326"/>
      <c r="D1257" s="315"/>
      <c r="E1257" s="321"/>
      <c r="F1257" s="322"/>
      <c r="G1257" s="315"/>
    </row>
    <row r="1258" spans="1:7" s="32" customFormat="1" x14ac:dyDescent="0.25">
      <c r="A1258" s="315"/>
      <c r="B1258" s="315"/>
      <c r="C1258" s="326"/>
      <c r="D1258" s="315"/>
      <c r="E1258" s="321"/>
      <c r="F1258" s="322"/>
      <c r="G1258" s="315"/>
    </row>
    <row r="1259" spans="1:7" s="32" customFormat="1" x14ac:dyDescent="0.25">
      <c r="A1259" s="315"/>
      <c r="B1259" s="315"/>
      <c r="C1259" s="326"/>
      <c r="D1259" s="315"/>
      <c r="E1259" s="321"/>
      <c r="F1259" s="322"/>
      <c r="G1259" s="315"/>
    </row>
    <row r="1260" spans="1:7" s="32" customFormat="1" x14ac:dyDescent="0.25">
      <c r="A1260" s="315"/>
      <c r="B1260" s="315"/>
      <c r="C1260" s="326"/>
      <c r="D1260" s="315"/>
      <c r="E1260" s="321"/>
      <c r="F1260" s="322"/>
      <c r="G1260" s="315"/>
    </row>
    <row r="1261" spans="1:7" s="32" customFormat="1" x14ac:dyDescent="0.25">
      <c r="A1261" s="315"/>
      <c r="B1261" s="315"/>
      <c r="C1261" s="326"/>
      <c r="D1261" s="315"/>
      <c r="E1261" s="321"/>
      <c r="F1261" s="322"/>
      <c r="G1261" s="315"/>
    </row>
    <row r="1262" spans="1:7" s="32" customFormat="1" x14ac:dyDescent="0.25">
      <c r="A1262" s="315"/>
      <c r="B1262" s="315"/>
      <c r="C1262" s="326"/>
      <c r="D1262" s="315"/>
      <c r="E1262" s="321"/>
      <c r="F1262" s="322"/>
      <c r="G1262" s="315"/>
    </row>
    <row r="1263" spans="1:7" s="32" customFormat="1" x14ac:dyDescent="0.25">
      <c r="A1263" s="315"/>
      <c r="B1263" s="315"/>
      <c r="C1263" s="326"/>
      <c r="D1263" s="315"/>
      <c r="E1263" s="321"/>
      <c r="F1263" s="322"/>
      <c r="G1263" s="315"/>
    </row>
    <row r="1264" spans="1:7" s="32" customFormat="1" x14ac:dyDescent="0.25">
      <c r="A1264" s="315"/>
      <c r="B1264" s="315"/>
      <c r="C1264" s="326"/>
      <c r="D1264" s="315"/>
      <c r="E1264" s="321"/>
      <c r="F1264" s="322"/>
      <c r="G1264" s="315"/>
    </row>
    <row r="1265" spans="1:7" s="32" customFormat="1" x14ac:dyDescent="0.25">
      <c r="A1265" s="315"/>
      <c r="B1265" s="315"/>
      <c r="C1265" s="326"/>
      <c r="D1265" s="315"/>
      <c r="E1265" s="321"/>
      <c r="F1265" s="322"/>
      <c r="G1265" s="315"/>
    </row>
    <row r="1266" spans="1:7" s="32" customFormat="1" x14ac:dyDescent="0.25">
      <c r="A1266" s="315"/>
      <c r="B1266" s="315"/>
      <c r="C1266" s="326"/>
      <c r="D1266" s="315"/>
      <c r="E1266" s="321"/>
      <c r="F1266" s="322"/>
      <c r="G1266" s="315"/>
    </row>
    <row r="1267" spans="1:7" s="32" customFormat="1" x14ac:dyDescent="0.25">
      <c r="A1267" s="315"/>
      <c r="B1267" s="315"/>
      <c r="C1267" s="326"/>
      <c r="D1267" s="315"/>
      <c r="E1267" s="321"/>
      <c r="F1267" s="322"/>
      <c r="G1267" s="315"/>
    </row>
    <row r="1268" spans="1:7" s="32" customFormat="1" x14ac:dyDescent="0.25">
      <c r="A1268" s="315"/>
      <c r="B1268" s="315"/>
      <c r="C1268" s="326"/>
      <c r="D1268" s="315"/>
      <c r="E1268" s="321"/>
      <c r="F1268" s="322"/>
      <c r="G1268" s="315"/>
    </row>
    <row r="1269" spans="1:7" s="32" customFormat="1" x14ac:dyDescent="0.25">
      <c r="A1269" s="315"/>
      <c r="B1269" s="315"/>
      <c r="C1269" s="326"/>
      <c r="D1269" s="315"/>
      <c r="E1269" s="321"/>
      <c r="F1269" s="322"/>
      <c r="G1269" s="315"/>
    </row>
    <row r="1270" spans="1:7" s="32" customFormat="1" x14ac:dyDescent="0.25">
      <c r="A1270" s="315"/>
      <c r="B1270" s="315"/>
      <c r="C1270" s="326"/>
      <c r="D1270" s="315"/>
      <c r="E1270" s="321"/>
      <c r="F1270" s="322"/>
      <c r="G1270" s="315"/>
    </row>
    <row r="1271" spans="1:7" s="32" customFormat="1" x14ac:dyDescent="0.25">
      <c r="A1271" s="315"/>
      <c r="B1271" s="315"/>
      <c r="C1271" s="326"/>
      <c r="D1271" s="315"/>
      <c r="E1271" s="321"/>
      <c r="F1271" s="322"/>
      <c r="G1271" s="315"/>
    </row>
    <row r="1272" spans="1:7" s="32" customFormat="1" x14ac:dyDescent="0.25">
      <c r="A1272" s="315"/>
      <c r="B1272" s="315"/>
      <c r="C1272" s="326"/>
      <c r="D1272" s="315"/>
      <c r="E1272" s="321"/>
      <c r="F1272" s="322"/>
      <c r="G1272" s="315"/>
    </row>
    <row r="1273" spans="1:7" s="32" customFormat="1" x14ac:dyDescent="0.25">
      <c r="A1273" s="315"/>
      <c r="B1273" s="315"/>
      <c r="C1273" s="326"/>
      <c r="D1273" s="315"/>
      <c r="E1273" s="321"/>
      <c r="F1273" s="322"/>
      <c r="G1273" s="315"/>
    </row>
    <row r="1274" spans="1:7" s="32" customFormat="1" x14ac:dyDescent="0.25">
      <c r="A1274" s="315"/>
      <c r="B1274" s="315"/>
      <c r="C1274" s="326"/>
      <c r="D1274" s="315"/>
      <c r="E1274" s="321"/>
      <c r="F1274" s="322"/>
      <c r="G1274" s="315"/>
    </row>
    <row r="1275" spans="1:7" s="32" customFormat="1" x14ac:dyDescent="0.25">
      <c r="A1275" s="315"/>
      <c r="B1275" s="315"/>
      <c r="C1275" s="326"/>
      <c r="D1275" s="315"/>
      <c r="E1275" s="321"/>
      <c r="F1275" s="322"/>
      <c r="G1275" s="315"/>
    </row>
    <row r="1276" spans="1:7" s="32" customFormat="1" x14ac:dyDescent="0.25">
      <c r="A1276" s="315"/>
      <c r="B1276" s="315"/>
      <c r="C1276" s="326"/>
      <c r="D1276" s="315"/>
      <c r="E1276" s="321"/>
      <c r="F1276" s="322"/>
      <c r="G1276" s="315"/>
    </row>
    <row r="1277" spans="1:7" s="32" customFormat="1" x14ac:dyDescent="0.25">
      <c r="A1277" s="315"/>
      <c r="B1277" s="315"/>
      <c r="C1277" s="326"/>
      <c r="D1277" s="315"/>
      <c r="E1277" s="321"/>
      <c r="F1277" s="322"/>
      <c r="G1277" s="315"/>
    </row>
    <row r="1278" spans="1:7" s="32" customFormat="1" x14ac:dyDescent="0.25">
      <c r="A1278" s="315"/>
      <c r="B1278" s="315"/>
      <c r="C1278" s="326"/>
      <c r="D1278" s="315"/>
      <c r="E1278" s="321"/>
      <c r="F1278" s="322"/>
      <c r="G1278" s="315"/>
    </row>
    <row r="1279" spans="1:7" s="32" customFormat="1" x14ac:dyDescent="0.25">
      <c r="A1279" s="315"/>
      <c r="B1279" s="315"/>
      <c r="C1279" s="326"/>
      <c r="D1279" s="315"/>
      <c r="E1279" s="321"/>
      <c r="F1279" s="322"/>
      <c r="G1279" s="315"/>
    </row>
    <row r="1280" spans="1:7" s="32" customFormat="1" x14ac:dyDescent="0.25">
      <c r="A1280" s="315"/>
      <c r="B1280" s="315"/>
      <c r="C1280" s="326"/>
      <c r="D1280" s="315"/>
      <c r="E1280" s="321"/>
      <c r="F1280" s="322"/>
      <c r="G1280" s="315"/>
    </row>
    <row r="1281" spans="1:7" s="32" customFormat="1" x14ac:dyDescent="0.25">
      <c r="A1281" s="315"/>
      <c r="B1281" s="315"/>
      <c r="C1281" s="326"/>
      <c r="D1281" s="315"/>
      <c r="E1281" s="321"/>
      <c r="F1281" s="322"/>
      <c r="G1281" s="315"/>
    </row>
    <row r="1282" spans="1:7" s="32" customFormat="1" x14ac:dyDescent="0.25">
      <c r="A1282" s="315"/>
      <c r="B1282" s="315"/>
      <c r="C1282" s="326"/>
      <c r="D1282" s="315"/>
      <c r="E1282" s="321"/>
      <c r="F1282" s="322"/>
      <c r="G1282" s="315"/>
    </row>
    <row r="1283" spans="1:7" s="32" customFormat="1" x14ac:dyDescent="0.25">
      <c r="A1283" s="315"/>
      <c r="B1283" s="315"/>
      <c r="C1283" s="326"/>
      <c r="D1283" s="315"/>
      <c r="E1283" s="321"/>
      <c r="F1283" s="322"/>
      <c r="G1283" s="315"/>
    </row>
    <row r="1284" spans="1:7" s="32" customFormat="1" x14ac:dyDescent="0.25">
      <c r="A1284" s="315"/>
      <c r="B1284" s="315"/>
      <c r="C1284" s="326"/>
      <c r="D1284" s="315"/>
      <c r="E1284" s="321"/>
      <c r="F1284" s="322"/>
      <c r="G1284" s="315"/>
    </row>
    <row r="1285" spans="1:7" s="32" customFormat="1" x14ac:dyDescent="0.25">
      <c r="A1285" s="315"/>
      <c r="B1285" s="315"/>
      <c r="C1285" s="326"/>
      <c r="D1285" s="315"/>
      <c r="E1285" s="321"/>
      <c r="F1285" s="322"/>
      <c r="G1285" s="315"/>
    </row>
    <row r="1286" spans="1:7" s="32" customFormat="1" x14ac:dyDescent="0.25">
      <c r="A1286" s="315"/>
      <c r="B1286" s="315"/>
      <c r="C1286" s="326"/>
      <c r="D1286" s="315"/>
      <c r="E1286" s="321"/>
      <c r="F1286" s="322"/>
      <c r="G1286" s="315"/>
    </row>
    <row r="1287" spans="1:7" s="32" customFormat="1" x14ac:dyDescent="0.25">
      <c r="A1287" s="315"/>
      <c r="B1287" s="315"/>
      <c r="C1287" s="326"/>
      <c r="D1287" s="315"/>
      <c r="E1287" s="321"/>
      <c r="F1287" s="322"/>
      <c r="G1287" s="315"/>
    </row>
    <row r="1288" spans="1:7" s="32" customFormat="1" x14ac:dyDescent="0.25">
      <c r="A1288" s="315"/>
      <c r="B1288" s="315"/>
      <c r="C1288" s="326"/>
      <c r="D1288" s="315"/>
      <c r="E1288" s="321"/>
      <c r="F1288" s="322"/>
      <c r="G1288" s="315"/>
    </row>
    <row r="1289" spans="1:7" s="32" customFormat="1" x14ac:dyDescent="0.25">
      <c r="A1289" s="315"/>
      <c r="B1289" s="315"/>
      <c r="C1289" s="326"/>
      <c r="D1289" s="315"/>
      <c r="E1289" s="321"/>
      <c r="F1289" s="322"/>
      <c r="G1289" s="315"/>
    </row>
    <row r="1290" spans="1:7" s="32" customFormat="1" x14ac:dyDescent="0.25">
      <c r="A1290" s="315"/>
      <c r="B1290" s="315"/>
      <c r="C1290" s="326"/>
      <c r="D1290" s="315"/>
      <c r="E1290" s="321"/>
      <c r="F1290" s="322"/>
      <c r="G1290" s="315"/>
    </row>
    <row r="1291" spans="1:7" s="32" customFormat="1" x14ac:dyDescent="0.25">
      <c r="A1291" s="315"/>
      <c r="B1291" s="315"/>
      <c r="C1291" s="326"/>
      <c r="D1291" s="315"/>
      <c r="E1291" s="321"/>
      <c r="F1291" s="322"/>
      <c r="G1291" s="315"/>
    </row>
    <row r="1292" spans="1:7" s="32" customFormat="1" x14ac:dyDescent="0.25">
      <c r="A1292" s="315"/>
      <c r="B1292" s="315"/>
      <c r="C1292" s="326"/>
      <c r="D1292" s="315"/>
      <c r="E1292" s="321"/>
      <c r="F1292" s="322"/>
      <c r="G1292" s="315"/>
    </row>
    <row r="1293" spans="1:7" s="32" customFormat="1" x14ac:dyDescent="0.25">
      <c r="A1293" s="315"/>
      <c r="B1293" s="315"/>
      <c r="C1293" s="326"/>
      <c r="D1293" s="315"/>
      <c r="E1293" s="321"/>
      <c r="F1293" s="322"/>
      <c r="G1293" s="315"/>
    </row>
    <row r="1294" spans="1:7" s="32" customFormat="1" x14ac:dyDescent="0.25">
      <c r="A1294" s="315"/>
      <c r="B1294" s="315"/>
      <c r="C1294" s="326"/>
      <c r="D1294" s="315"/>
      <c r="E1294" s="321"/>
      <c r="F1294" s="322"/>
      <c r="G1294" s="315"/>
    </row>
    <row r="1295" spans="1:7" s="32" customFormat="1" x14ac:dyDescent="0.25">
      <c r="A1295" s="315"/>
      <c r="B1295" s="315"/>
      <c r="C1295" s="326"/>
      <c r="D1295" s="315"/>
      <c r="E1295" s="321"/>
      <c r="F1295" s="322"/>
      <c r="G1295" s="315"/>
    </row>
    <row r="1296" spans="1:7" s="32" customFormat="1" x14ac:dyDescent="0.25">
      <c r="A1296" s="315"/>
      <c r="B1296" s="315"/>
      <c r="C1296" s="326"/>
      <c r="D1296" s="315"/>
      <c r="E1296" s="321"/>
      <c r="F1296" s="322"/>
      <c r="G1296" s="315"/>
    </row>
    <row r="1297" spans="1:7" s="32" customFormat="1" x14ac:dyDescent="0.25">
      <c r="A1297" s="315"/>
      <c r="B1297" s="315"/>
      <c r="C1297" s="326"/>
      <c r="D1297" s="315"/>
      <c r="E1297" s="321"/>
      <c r="F1297" s="322"/>
      <c r="G1297" s="315"/>
    </row>
    <row r="1298" spans="1:7" s="32" customFormat="1" x14ac:dyDescent="0.25">
      <c r="A1298" s="315"/>
      <c r="B1298" s="315"/>
      <c r="C1298" s="326"/>
      <c r="D1298" s="315"/>
      <c r="E1298" s="321"/>
      <c r="F1298" s="322"/>
      <c r="G1298" s="315"/>
    </row>
    <row r="1299" spans="1:7" s="32" customFormat="1" x14ac:dyDescent="0.25">
      <c r="A1299" s="315"/>
      <c r="B1299" s="315"/>
      <c r="C1299" s="326"/>
      <c r="D1299" s="315"/>
      <c r="E1299" s="321"/>
      <c r="F1299" s="322"/>
      <c r="G1299" s="315"/>
    </row>
    <row r="1300" spans="1:7" s="32" customFormat="1" x14ac:dyDescent="0.25">
      <c r="A1300" s="315"/>
      <c r="B1300" s="315"/>
      <c r="C1300" s="326"/>
      <c r="D1300" s="315"/>
      <c r="E1300" s="321"/>
      <c r="F1300" s="322"/>
      <c r="G1300" s="315"/>
    </row>
    <row r="1301" spans="1:7" s="32" customFormat="1" x14ac:dyDescent="0.25">
      <c r="A1301" s="315"/>
      <c r="B1301" s="315"/>
      <c r="C1301" s="326"/>
      <c r="D1301" s="315"/>
      <c r="E1301" s="321"/>
      <c r="F1301" s="322"/>
      <c r="G1301" s="315"/>
    </row>
    <row r="1302" spans="1:7" s="32" customFormat="1" x14ac:dyDescent="0.25">
      <c r="A1302" s="315"/>
      <c r="B1302" s="315"/>
      <c r="C1302" s="326"/>
      <c r="D1302" s="315"/>
      <c r="E1302" s="321"/>
      <c r="F1302" s="322"/>
      <c r="G1302" s="315"/>
    </row>
    <row r="1303" spans="1:7" s="32" customFormat="1" x14ac:dyDescent="0.25">
      <c r="A1303" s="315"/>
      <c r="B1303" s="315"/>
      <c r="C1303" s="326"/>
      <c r="D1303" s="315"/>
      <c r="E1303" s="321"/>
      <c r="F1303" s="322"/>
      <c r="G1303" s="315"/>
    </row>
    <row r="1304" spans="1:7" s="32" customFormat="1" x14ac:dyDescent="0.25">
      <c r="A1304" s="315"/>
      <c r="B1304" s="315"/>
      <c r="C1304" s="326"/>
      <c r="D1304" s="315"/>
      <c r="E1304" s="321"/>
      <c r="F1304" s="322"/>
      <c r="G1304" s="315"/>
    </row>
    <row r="1305" spans="1:7" s="32" customFormat="1" x14ac:dyDescent="0.25">
      <c r="A1305" s="315"/>
      <c r="B1305" s="315"/>
      <c r="C1305" s="326"/>
      <c r="D1305" s="315"/>
      <c r="E1305" s="321"/>
      <c r="F1305" s="322"/>
      <c r="G1305" s="315"/>
    </row>
    <row r="1306" spans="1:7" s="32" customFormat="1" x14ac:dyDescent="0.25">
      <c r="A1306" s="315"/>
      <c r="B1306" s="315"/>
      <c r="C1306" s="326"/>
      <c r="D1306" s="315"/>
      <c r="E1306" s="321"/>
      <c r="F1306" s="322"/>
      <c r="G1306" s="315"/>
    </row>
    <row r="1307" spans="1:7" s="32" customFormat="1" x14ac:dyDescent="0.25">
      <c r="A1307" s="315"/>
      <c r="B1307" s="315"/>
      <c r="C1307" s="326"/>
      <c r="D1307" s="315"/>
      <c r="E1307" s="321"/>
      <c r="F1307" s="322"/>
      <c r="G1307" s="315"/>
    </row>
    <row r="1308" spans="1:7" s="32" customFormat="1" x14ac:dyDescent="0.25">
      <c r="A1308" s="315"/>
      <c r="B1308" s="315"/>
      <c r="C1308" s="326"/>
      <c r="D1308" s="315"/>
      <c r="E1308" s="321"/>
      <c r="F1308" s="322"/>
      <c r="G1308" s="315"/>
    </row>
    <row r="1309" spans="1:7" s="32" customFormat="1" x14ac:dyDescent="0.25">
      <c r="A1309" s="315"/>
      <c r="B1309" s="315"/>
      <c r="C1309" s="326"/>
      <c r="D1309" s="315"/>
      <c r="E1309" s="321"/>
      <c r="F1309" s="322"/>
      <c r="G1309" s="315"/>
    </row>
    <row r="1310" spans="1:7" s="32" customFormat="1" x14ac:dyDescent="0.25">
      <c r="A1310" s="315"/>
      <c r="B1310" s="315"/>
      <c r="C1310" s="326"/>
      <c r="D1310" s="315"/>
      <c r="E1310" s="321"/>
      <c r="F1310" s="322"/>
      <c r="G1310" s="315"/>
    </row>
    <row r="1311" spans="1:7" s="32" customFormat="1" x14ac:dyDescent="0.25">
      <c r="A1311" s="315"/>
      <c r="B1311" s="315"/>
      <c r="C1311" s="326"/>
      <c r="D1311" s="315"/>
      <c r="E1311" s="321"/>
      <c r="F1311" s="322"/>
      <c r="G1311" s="315"/>
    </row>
    <row r="1312" spans="1:7" s="32" customFormat="1" x14ac:dyDescent="0.25">
      <c r="A1312" s="315"/>
      <c r="B1312" s="315"/>
      <c r="C1312" s="326"/>
      <c r="D1312" s="315"/>
      <c r="E1312" s="321"/>
      <c r="F1312" s="322"/>
      <c r="G1312" s="315"/>
    </row>
    <row r="1313" spans="1:7" s="32" customFormat="1" x14ac:dyDescent="0.25">
      <c r="A1313" s="315"/>
      <c r="B1313" s="315"/>
      <c r="C1313" s="326"/>
      <c r="D1313" s="315"/>
      <c r="E1313" s="321"/>
      <c r="F1313" s="322"/>
      <c r="G1313" s="315"/>
    </row>
    <row r="1314" spans="1:7" s="32" customFormat="1" x14ac:dyDescent="0.25">
      <c r="A1314" s="315"/>
      <c r="B1314" s="315"/>
      <c r="C1314" s="326"/>
      <c r="D1314" s="315"/>
      <c r="E1314" s="321"/>
      <c r="F1314" s="322"/>
      <c r="G1314" s="315"/>
    </row>
    <row r="1315" spans="1:7" s="32" customFormat="1" x14ac:dyDescent="0.25">
      <c r="A1315" s="315"/>
      <c r="B1315" s="315"/>
      <c r="C1315" s="326"/>
      <c r="D1315" s="315"/>
      <c r="E1315" s="321"/>
      <c r="F1315" s="322"/>
      <c r="G1315" s="315"/>
    </row>
    <row r="1316" spans="1:7" s="32" customFormat="1" x14ac:dyDescent="0.25">
      <c r="A1316" s="315"/>
      <c r="B1316" s="315"/>
      <c r="C1316" s="326"/>
      <c r="D1316" s="315"/>
      <c r="E1316" s="321"/>
      <c r="F1316" s="322"/>
      <c r="G1316" s="315"/>
    </row>
    <row r="1317" spans="1:7" s="32" customFormat="1" x14ac:dyDescent="0.25">
      <c r="A1317" s="315"/>
      <c r="B1317" s="315"/>
      <c r="C1317" s="326"/>
      <c r="D1317" s="315"/>
      <c r="E1317" s="321"/>
      <c r="F1317" s="322"/>
      <c r="G1317" s="315"/>
    </row>
    <row r="1318" spans="1:7" s="32" customFormat="1" x14ac:dyDescent="0.25">
      <c r="A1318" s="315"/>
      <c r="B1318" s="315"/>
      <c r="C1318" s="326"/>
      <c r="D1318" s="315"/>
      <c r="E1318" s="321"/>
      <c r="F1318" s="322"/>
      <c r="G1318" s="315"/>
    </row>
    <row r="1319" spans="1:7" s="32" customFormat="1" x14ac:dyDescent="0.25">
      <c r="A1319" s="315"/>
      <c r="B1319" s="315"/>
      <c r="C1319" s="326"/>
      <c r="D1319" s="315"/>
      <c r="E1319" s="321"/>
      <c r="F1319" s="322"/>
      <c r="G1319" s="315"/>
    </row>
    <row r="1320" spans="1:7" s="32" customFormat="1" x14ac:dyDescent="0.25">
      <c r="A1320" s="315"/>
      <c r="B1320" s="315"/>
      <c r="C1320" s="326"/>
      <c r="D1320" s="315"/>
      <c r="E1320" s="321"/>
      <c r="F1320" s="322"/>
      <c r="G1320" s="315"/>
    </row>
    <row r="1321" spans="1:7" s="32" customFormat="1" x14ac:dyDescent="0.25">
      <c r="A1321" s="315"/>
      <c r="B1321" s="315"/>
      <c r="C1321" s="326"/>
      <c r="D1321" s="315"/>
      <c r="E1321" s="321"/>
      <c r="F1321" s="322"/>
      <c r="G1321" s="315"/>
    </row>
    <row r="1322" spans="1:7" s="32" customFormat="1" x14ac:dyDescent="0.25">
      <c r="A1322" s="315"/>
      <c r="B1322" s="315"/>
      <c r="C1322" s="326"/>
      <c r="D1322" s="315"/>
      <c r="E1322" s="321"/>
      <c r="F1322" s="322"/>
      <c r="G1322" s="315"/>
    </row>
    <row r="1323" spans="1:7" s="32" customFormat="1" x14ac:dyDescent="0.25">
      <c r="A1323" s="315"/>
      <c r="B1323" s="315"/>
      <c r="C1323" s="326"/>
      <c r="D1323" s="315"/>
      <c r="E1323" s="321"/>
      <c r="F1323" s="322"/>
      <c r="G1323" s="315"/>
    </row>
    <row r="1324" spans="1:7" s="32" customFormat="1" x14ac:dyDescent="0.25">
      <c r="A1324" s="315"/>
      <c r="B1324" s="315"/>
      <c r="C1324" s="326"/>
      <c r="D1324" s="315"/>
      <c r="E1324" s="321"/>
      <c r="F1324" s="322"/>
      <c r="G1324" s="315"/>
    </row>
    <row r="1325" spans="1:7" s="32" customFormat="1" x14ac:dyDescent="0.25">
      <c r="A1325" s="315"/>
      <c r="B1325" s="315"/>
      <c r="C1325" s="326"/>
      <c r="D1325" s="315"/>
      <c r="E1325" s="321"/>
      <c r="F1325" s="322"/>
      <c r="G1325" s="315"/>
    </row>
    <row r="1326" spans="1:7" s="32" customFormat="1" x14ac:dyDescent="0.25">
      <c r="A1326" s="315"/>
      <c r="B1326" s="315"/>
      <c r="C1326" s="326"/>
      <c r="D1326" s="315"/>
      <c r="E1326" s="321"/>
      <c r="F1326" s="322"/>
      <c r="G1326" s="315"/>
    </row>
    <row r="1327" spans="1:7" s="32" customFormat="1" x14ac:dyDescent="0.25">
      <c r="A1327" s="315"/>
      <c r="B1327" s="315"/>
      <c r="C1327" s="326"/>
      <c r="D1327" s="315"/>
      <c r="E1327" s="321"/>
      <c r="F1327" s="322"/>
      <c r="G1327" s="315"/>
    </row>
    <row r="1328" spans="1:7" s="32" customFormat="1" x14ac:dyDescent="0.25">
      <c r="A1328" s="315"/>
      <c r="B1328" s="315"/>
      <c r="C1328" s="326"/>
      <c r="D1328" s="315"/>
      <c r="E1328" s="321"/>
      <c r="F1328" s="322"/>
      <c r="G1328" s="315"/>
    </row>
    <row r="1329" spans="1:7" s="32" customFormat="1" x14ac:dyDescent="0.25">
      <c r="A1329" s="315"/>
      <c r="B1329" s="315"/>
      <c r="C1329" s="326"/>
      <c r="D1329" s="315"/>
      <c r="E1329" s="321"/>
      <c r="F1329" s="322"/>
      <c r="G1329" s="315"/>
    </row>
    <row r="1330" spans="1:7" s="32" customFormat="1" x14ac:dyDescent="0.25">
      <c r="A1330" s="315"/>
      <c r="B1330" s="315"/>
      <c r="C1330" s="326"/>
      <c r="D1330" s="315"/>
      <c r="E1330" s="321"/>
      <c r="F1330" s="322"/>
      <c r="G1330" s="315"/>
    </row>
    <row r="1331" spans="1:7" s="32" customFormat="1" x14ac:dyDescent="0.25">
      <c r="A1331" s="315"/>
      <c r="B1331" s="315"/>
      <c r="C1331" s="326"/>
      <c r="D1331" s="315"/>
      <c r="E1331" s="321"/>
      <c r="F1331" s="322"/>
      <c r="G1331" s="315"/>
    </row>
    <row r="1332" spans="1:7" s="32" customFormat="1" x14ac:dyDescent="0.25">
      <c r="A1332" s="315"/>
      <c r="B1332" s="315"/>
      <c r="C1332" s="326"/>
      <c r="D1332" s="315"/>
      <c r="E1332" s="321"/>
      <c r="F1332" s="322"/>
      <c r="G1332" s="315"/>
    </row>
    <row r="1333" spans="1:7" s="32" customFormat="1" x14ac:dyDescent="0.25">
      <c r="A1333" s="315"/>
      <c r="B1333" s="315"/>
      <c r="C1333" s="326"/>
      <c r="D1333" s="315"/>
      <c r="E1333" s="321"/>
      <c r="F1333" s="322"/>
      <c r="G1333" s="315"/>
    </row>
    <row r="1334" spans="1:7" s="32" customFormat="1" x14ac:dyDescent="0.25">
      <c r="A1334" s="315"/>
      <c r="B1334" s="315"/>
      <c r="C1334" s="326"/>
      <c r="D1334" s="315"/>
      <c r="E1334" s="321"/>
      <c r="F1334" s="322"/>
      <c r="G1334" s="315"/>
    </row>
    <row r="1335" spans="1:7" s="32" customFormat="1" x14ac:dyDescent="0.25">
      <c r="A1335" s="315"/>
      <c r="B1335" s="315"/>
      <c r="C1335" s="326"/>
      <c r="D1335" s="315"/>
      <c r="E1335" s="321"/>
      <c r="F1335" s="322"/>
      <c r="G1335" s="315"/>
    </row>
    <row r="1336" spans="1:7" s="32" customFormat="1" x14ac:dyDescent="0.25">
      <c r="A1336" s="315"/>
      <c r="B1336" s="315"/>
      <c r="C1336" s="326"/>
      <c r="D1336" s="315"/>
      <c r="E1336" s="321"/>
      <c r="F1336" s="322"/>
      <c r="G1336" s="315"/>
    </row>
    <row r="1337" spans="1:7" s="32" customFormat="1" x14ac:dyDescent="0.25">
      <c r="A1337" s="315"/>
      <c r="B1337" s="315"/>
      <c r="C1337" s="326"/>
      <c r="D1337" s="315"/>
      <c r="E1337" s="321"/>
      <c r="F1337" s="322"/>
      <c r="G1337" s="315"/>
    </row>
    <row r="1338" spans="1:7" s="32" customFormat="1" x14ac:dyDescent="0.25">
      <c r="A1338" s="315"/>
      <c r="B1338" s="315"/>
      <c r="C1338" s="326"/>
      <c r="D1338" s="315"/>
      <c r="E1338" s="321"/>
      <c r="F1338" s="322"/>
      <c r="G1338" s="315"/>
    </row>
    <row r="1339" spans="1:7" s="32" customFormat="1" x14ac:dyDescent="0.25">
      <c r="A1339" s="315"/>
      <c r="B1339" s="315"/>
      <c r="C1339" s="326"/>
      <c r="D1339" s="315"/>
      <c r="E1339" s="321"/>
      <c r="F1339" s="322"/>
      <c r="G1339" s="315"/>
    </row>
    <row r="1340" spans="1:7" s="32" customFormat="1" x14ac:dyDescent="0.25">
      <c r="A1340" s="315"/>
      <c r="B1340" s="315"/>
      <c r="C1340" s="326"/>
      <c r="D1340" s="315"/>
      <c r="E1340" s="321"/>
      <c r="F1340" s="322"/>
      <c r="G1340" s="315"/>
    </row>
    <row r="1341" spans="1:7" s="32" customFormat="1" x14ac:dyDescent="0.25">
      <c r="A1341" s="315"/>
      <c r="B1341" s="315"/>
      <c r="C1341" s="326"/>
      <c r="D1341" s="315"/>
      <c r="E1341" s="321"/>
      <c r="F1341" s="322"/>
      <c r="G1341" s="315"/>
    </row>
    <row r="1342" spans="1:7" s="32" customFormat="1" x14ac:dyDescent="0.25">
      <c r="A1342" s="315"/>
      <c r="B1342" s="315"/>
      <c r="C1342" s="326"/>
      <c r="D1342" s="315"/>
      <c r="E1342" s="321"/>
      <c r="F1342" s="322"/>
      <c r="G1342" s="315"/>
    </row>
    <row r="1343" spans="1:7" s="32" customFormat="1" x14ac:dyDescent="0.25">
      <c r="A1343" s="315"/>
      <c r="B1343" s="315"/>
      <c r="C1343" s="326"/>
      <c r="D1343" s="315"/>
      <c r="E1343" s="321"/>
      <c r="F1343" s="322"/>
      <c r="G1343" s="315"/>
    </row>
    <row r="1344" spans="1:7" s="32" customFormat="1" x14ac:dyDescent="0.25">
      <c r="A1344" s="315"/>
      <c r="B1344" s="315"/>
      <c r="C1344" s="326"/>
      <c r="D1344" s="315"/>
      <c r="E1344" s="321"/>
      <c r="F1344" s="322"/>
      <c r="G1344" s="315"/>
    </row>
    <row r="1345" spans="1:7" s="32" customFormat="1" x14ac:dyDescent="0.25">
      <c r="A1345" s="315"/>
      <c r="B1345" s="315"/>
      <c r="C1345" s="326"/>
      <c r="D1345" s="315"/>
      <c r="E1345" s="321"/>
      <c r="F1345" s="322"/>
      <c r="G1345" s="315"/>
    </row>
    <row r="1346" spans="1:7" s="32" customFormat="1" x14ac:dyDescent="0.25">
      <c r="A1346" s="315"/>
      <c r="B1346" s="315"/>
      <c r="C1346" s="326"/>
      <c r="D1346" s="315"/>
      <c r="E1346" s="321"/>
      <c r="F1346" s="322"/>
      <c r="G1346" s="315"/>
    </row>
    <row r="1347" spans="1:7" s="32" customFormat="1" x14ac:dyDescent="0.25">
      <c r="A1347" s="315"/>
      <c r="B1347" s="315"/>
      <c r="C1347" s="326"/>
      <c r="D1347" s="315"/>
      <c r="E1347" s="321"/>
      <c r="F1347" s="322"/>
      <c r="G1347" s="315"/>
    </row>
    <row r="1348" spans="1:7" s="32" customFormat="1" x14ac:dyDescent="0.25">
      <c r="A1348" s="315"/>
      <c r="B1348" s="315"/>
      <c r="C1348" s="326"/>
      <c r="D1348" s="315"/>
      <c r="E1348" s="321"/>
      <c r="F1348" s="322"/>
      <c r="G1348" s="315"/>
    </row>
    <row r="1349" spans="1:7" s="32" customFormat="1" x14ac:dyDescent="0.25">
      <c r="A1349" s="315"/>
      <c r="B1349" s="315"/>
      <c r="C1349" s="326"/>
      <c r="D1349" s="315"/>
      <c r="E1349" s="321"/>
      <c r="F1349" s="322"/>
      <c r="G1349" s="315"/>
    </row>
    <row r="1350" spans="1:7" s="32" customFormat="1" x14ac:dyDescent="0.25">
      <c r="A1350" s="315"/>
      <c r="B1350" s="315"/>
      <c r="C1350" s="326"/>
      <c r="D1350" s="315"/>
      <c r="E1350" s="321"/>
      <c r="F1350" s="322"/>
      <c r="G1350" s="315"/>
    </row>
    <row r="1351" spans="1:7" s="32" customFormat="1" x14ac:dyDescent="0.25">
      <c r="A1351" s="315"/>
      <c r="B1351" s="315"/>
      <c r="C1351" s="326"/>
      <c r="D1351" s="315"/>
      <c r="E1351" s="321"/>
      <c r="F1351" s="322"/>
      <c r="G1351" s="315"/>
    </row>
    <row r="1352" spans="1:7" s="32" customFormat="1" x14ac:dyDescent="0.25">
      <c r="A1352" s="315"/>
      <c r="B1352" s="315"/>
      <c r="C1352" s="326"/>
      <c r="D1352" s="315"/>
      <c r="E1352" s="321"/>
      <c r="F1352" s="322"/>
      <c r="G1352" s="315"/>
    </row>
    <row r="1353" spans="1:7" s="32" customFormat="1" x14ac:dyDescent="0.25">
      <c r="A1353" s="315"/>
      <c r="B1353" s="315"/>
      <c r="C1353" s="326"/>
      <c r="D1353" s="315"/>
      <c r="E1353" s="321"/>
      <c r="F1353" s="322"/>
      <c r="G1353" s="315"/>
    </row>
    <row r="1354" spans="1:7" s="32" customFormat="1" x14ac:dyDescent="0.25">
      <c r="A1354" s="315"/>
      <c r="B1354" s="315"/>
      <c r="C1354" s="326"/>
      <c r="D1354" s="315"/>
      <c r="E1354" s="321"/>
      <c r="F1354" s="322"/>
      <c r="G1354" s="315"/>
    </row>
    <row r="1355" spans="1:7" s="32" customFormat="1" x14ac:dyDescent="0.25">
      <c r="A1355" s="315"/>
      <c r="B1355" s="315"/>
      <c r="C1355" s="326"/>
      <c r="D1355" s="315"/>
      <c r="E1355" s="321"/>
      <c r="F1355" s="322"/>
      <c r="G1355" s="315"/>
    </row>
    <row r="1356" spans="1:7" s="32" customFormat="1" x14ac:dyDescent="0.25">
      <c r="A1356" s="315"/>
      <c r="B1356" s="315"/>
      <c r="C1356" s="326"/>
      <c r="D1356" s="315"/>
      <c r="E1356" s="321"/>
      <c r="F1356" s="322"/>
      <c r="G1356" s="315"/>
    </row>
    <row r="1357" spans="1:7" s="32" customFormat="1" x14ac:dyDescent="0.25">
      <c r="A1357" s="315"/>
      <c r="B1357" s="315"/>
      <c r="C1357" s="326"/>
      <c r="D1357" s="315"/>
      <c r="E1357" s="321"/>
      <c r="F1357" s="322"/>
      <c r="G1357" s="315"/>
    </row>
    <row r="1358" spans="1:7" s="32" customFormat="1" x14ac:dyDescent="0.25">
      <c r="A1358" s="315"/>
      <c r="B1358" s="315"/>
      <c r="C1358" s="326"/>
      <c r="D1358" s="315"/>
      <c r="E1358" s="321"/>
      <c r="F1358" s="322"/>
      <c r="G1358" s="315"/>
    </row>
    <row r="1359" spans="1:7" s="32" customFormat="1" x14ac:dyDescent="0.25">
      <c r="A1359" s="315"/>
      <c r="B1359" s="315"/>
      <c r="C1359" s="326"/>
      <c r="D1359" s="315"/>
      <c r="E1359" s="321"/>
      <c r="F1359" s="322"/>
      <c r="G1359" s="315"/>
    </row>
    <row r="1360" spans="1:7" s="32" customFormat="1" x14ac:dyDescent="0.25">
      <c r="A1360" s="315"/>
      <c r="B1360" s="315"/>
      <c r="C1360" s="326"/>
      <c r="D1360" s="315"/>
      <c r="E1360" s="321"/>
      <c r="F1360" s="322"/>
      <c r="G1360" s="315"/>
    </row>
    <row r="1361" spans="1:7" s="32" customFormat="1" x14ac:dyDescent="0.25">
      <c r="A1361" s="315"/>
      <c r="B1361" s="315"/>
      <c r="C1361" s="326"/>
      <c r="D1361" s="315"/>
      <c r="E1361" s="321"/>
      <c r="F1361" s="322"/>
      <c r="G1361" s="315"/>
    </row>
    <row r="1362" spans="1:7" s="32" customFormat="1" x14ac:dyDescent="0.25">
      <c r="A1362" s="315"/>
      <c r="B1362" s="315"/>
      <c r="C1362" s="326"/>
      <c r="D1362" s="315"/>
      <c r="E1362" s="321"/>
      <c r="F1362" s="322"/>
      <c r="G1362" s="315"/>
    </row>
    <row r="1363" spans="1:7" s="32" customFormat="1" x14ac:dyDescent="0.25">
      <c r="A1363" s="315"/>
      <c r="B1363" s="315"/>
      <c r="C1363" s="326"/>
      <c r="D1363" s="315"/>
      <c r="E1363" s="321"/>
      <c r="F1363" s="322"/>
      <c r="G1363" s="315"/>
    </row>
    <row r="1364" spans="1:7" s="32" customFormat="1" x14ac:dyDescent="0.25">
      <c r="A1364" s="315"/>
      <c r="B1364" s="315"/>
      <c r="C1364" s="326"/>
      <c r="D1364" s="315"/>
      <c r="E1364" s="321"/>
      <c r="F1364" s="322"/>
      <c r="G1364" s="315"/>
    </row>
    <row r="1365" spans="1:7" s="32" customFormat="1" x14ac:dyDescent="0.25">
      <c r="A1365" s="315"/>
      <c r="B1365" s="315"/>
      <c r="C1365" s="326"/>
      <c r="D1365" s="315"/>
      <c r="E1365" s="321"/>
      <c r="F1365" s="322"/>
      <c r="G1365" s="315"/>
    </row>
    <row r="1366" spans="1:7" s="32" customFormat="1" x14ac:dyDescent="0.25">
      <c r="A1366" s="315"/>
      <c r="B1366" s="315"/>
      <c r="C1366" s="326"/>
      <c r="D1366" s="315"/>
      <c r="E1366" s="321"/>
      <c r="F1366" s="322"/>
      <c r="G1366" s="315"/>
    </row>
    <row r="1367" spans="1:7" s="32" customFormat="1" x14ac:dyDescent="0.25">
      <c r="A1367" s="315"/>
      <c r="B1367" s="315"/>
      <c r="C1367" s="326"/>
      <c r="D1367" s="315"/>
      <c r="E1367" s="321"/>
      <c r="F1367" s="322"/>
      <c r="G1367" s="315"/>
    </row>
    <row r="1368" spans="1:7" s="32" customFormat="1" x14ac:dyDescent="0.25">
      <c r="A1368" s="315"/>
      <c r="B1368" s="315"/>
      <c r="C1368" s="326"/>
      <c r="D1368" s="315"/>
      <c r="E1368" s="321"/>
      <c r="F1368" s="322"/>
      <c r="G1368" s="315"/>
    </row>
    <row r="1369" spans="1:7" s="32" customFormat="1" x14ac:dyDescent="0.25">
      <c r="A1369" s="315"/>
      <c r="B1369" s="315"/>
      <c r="C1369" s="326"/>
      <c r="D1369" s="315"/>
      <c r="E1369" s="321"/>
      <c r="F1369" s="322"/>
      <c r="G1369" s="315"/>
    </row>
    <row r="1370" spans="1:7" s="32" customFormat="1" x14ac:dyDescent="0.25">
      <c r="A1370" s="315"/>
      <c r="B1370" s="315"/>
      <c r="C1370" s="326"/>
      <c r="D1370" s="315"/>
      <c r="E1370" s="321"/>
      <c r="F1370" s="322"/>
      <c r="G1370" s="315"/>
    </row>
    <row r="1371" spans="1:7" s="32" customFormat="1" x14ac:dyDescent="0.25">
      <c r="A1371" s="315"/>
      <c r="B1371" s="315"/>
      <c r="C1371" s="326"/>
      <c r="D1371" s="315"/>
      <c r="E1371" s="321"/>
      <c r="F1371" s="322"/>
      <c r="G1371" s="315"/>
    </row>
    <row r="1372" spans="1:7" s="32" customFormat="1" x14ac:dyDescent="0.25">
      <c r="A1372" s="315"/>
      <c r="B1372" s="315"/>
      <c r="C1372" s="326"/>
      <c r="D1372" s="315"/>
      <c r="E1372" s="321"/>
      <c r="F1372" s="322"/>
      <c r="G1372" s="315"/>
    </row>
    <row r="1373" spans="1:7" s="32" customFormat="1" x14ac:dyDescent="0.25">
      <c r="A1373" s="315"/>
      <c r="B1373" s="315"/>
      <c r="C1373" s="326"/>
      <c r="D1373" s="315"/>
      <c r="E1373" s="321"/>
      <c r="F1373" s="322"/>
      <c r="G1373" s="315"/>
    </row>
    <row r="1374" spans="1:7" s="32" customFormat="1" x14ac:dyDescent="0.25">
      <c r="A1374" s="315"/>
      <c r="B1374" s="315"/>
      <c r="C1374" s="326"/>
      <c r="D1374" s="315"/>
      <c r="E1374" s="321"/>
      <c r="F1374" s="322"/>
      <c r="G1374" s="315"/>
    </row>
    <row r="1375" spans="1:7" s="32" customFormat="1" x14ac:dyDescent="0.25">
      <c r="A1375" s="315"/>
      <c r="B1375" s="315"/>
      <c r="C1375" s="326"/>
      <c r="D1375" s="315"/>
      <c r="E1375" s="321"/>
      <c r="F1375" s="322"/>
      <c r="G1375" s="315"/>
    </row>
    <row r="1376" spans="1:7" s="32" customFormat="1" x14ac:dyDescent="0.25">
      <c r="A1376" s="315"/>
      <c r="B1376" s="315"/>
      <c r="C1376" s="326"/>
      <c r="D1376" s="315"/>
      <c r="E1376" s="321"/>
      <c r="F1376" s="322"/>
      <c r="G1376" s="315"/>
    </row>
    <row r="1377" spans="1:7" s="32" customFormat="1" x14ac:dyDescent="0.25">
      <c r="A1377" s="315"/>
      <c r="B1377" s="315"/>
      <c r="C1377" s="326"/>
      <c r="D1377" s="315"/>
      <c r="E1377" s="321"/>
      <c r="F1377" s="322"/>
      <c r="G1377" s="315"/>
    </row>
    <row r="1378" spans="1:7" s="32" customFormat="1" x14ac:dyDescent="0.25">
      <c r="A1378" s="315"/>
      <c r="B1378" s="315"/>
      <c r="C1378" s="326"/>
      <c r="D1378" s="315"/>
      <c r="E1378" s="321"/>
      <c r="F1378" s="322"/>
      <c r="G1378" s="315"/>
    </row>
    <row r="1379" spans="1:7" s="32" customFormat="1" x14ac:dyDescent="0.25">
      <c r="A1379" s="315"/>
      <c r="B1379" s="315"/>
      <c r="C1379" s="326"/>
      <c r="D1379" s="315"/>
      <c r="E1379" s="321"/>
      <c r="F1379" s="322"/>
      <c r="G1379" s="315"/>
    </row>
    <row r="1380" spans="1:7" s="32" customFormat="1" x14ac:dyDescent="0.25">
      <c r="A1380" s="315"/>
      <c r="B1380" s="315"/>
      <c r="C1380" s="326"/>
      <c r="D1380" s="315"/>
      <c r="E1380" s="321"/>
      <c r="F1380" s="322"/>
      <c r="G1380" s="315"/>
    </row>
    <row r="1381" spans="1:7" s="32" customFormat="1" x14ac:dyDescent="0.25">
      <c r="A1381" s="315"/>
      <c r="B1381" s="315"/>
      <c r="C1381" s="326"/>
      <c r="D1381" s="315"/>
      <c r="E1381" s="321"/>
      <c r="F1381" s="322"/>
      <c r="G1381" s="315"/>
    </row>
    <row r="1382" spans="1:7" s="32" customFormat="1" x14ac:dyDescent="0.25">
      <c r="A1382" s="315"/>
      <c r="B1382" s="315"/>
      <c r="C1382" s="326"/>
      <c r="D1382" s="315"/>
      <c r="E1382" s="321"/>
      <c r="F1382" s="322"/>
      <c r="G1382" s="315"/>
    </row>
    <row r="1383" spans="1:7" s="32" customFormat="1" x14ac:dyDescent="0.25">
      <c r="A1383" s="315"/>
      <c r="B1383" s="315"/>
      <c r="C1383" s="326"/>
      <c r="D1383" s="315"/>
      <c r="E1383" s="321"/>
      <c r="F1383" s="322"/>
      <c r="G1383" s="315"/>
    </row>
    <row r="1384" spans="1:7" s="32" customFormat="1" x14ac:dyDescent="0.25">
      <c r="A1384" s="315"/>
      <c r="B1384" s="315"/>
      <c r="C1384" s="326"/>
      <c r="D1384" s="315"/>
      <c r="E1384" s="321"/>
      <c r="F1384" s="322"/>
      <c r="G1384" s="315"/>
    </row>
    <row r="1385" spans="1:7" s="32" customFormat="1" x14ac:dyDescent="0.25">
      <c r="A1385" s="315"/>
      <c r="B1385" s="315"/>
      <c r="C1385" s="326"/>
      <c r="D1385" s="315"/>
      <c r="E1385" s="321"/>
      <c r="F1385" s="322"/>
      <c r="G1385" s="315"/>
    </row>
    <row r="1386" spans="1:7" s="32" customFormat="1" x14ac:dyDescent="0.25">
      <c r="A1386" s="315"/>
      <c r="B1386" s="315"/>
      <c r="C1386" s="326"/>
      <c r="D1386" s="315"/>
      <c r="E1386" s="321"/>
      <c r="F1386" s="322"/>
      <c r="G1386" s="315"/>
    </row>
    <row r="1387" spans="1:7" s="32" customFormat="1" x14ac:dyDescent="0.25">
      <c r="A1387" s="315"/>
      <c r="B1387" s="315"/>
      <c r="C1387" s="326"/>
      <c r="D1387" s="315"/>
      <c r="E1387" s="321"/>
      <c r="F1387" s="322"/>
      <c r="G1387" s="315"/>
    </row>
    <row r="1388" spans="1:7" s="32" customFormat="1" x14ac:dyDescent="0.25">
      <c r="A1388" s="315"/>
      <c r="B1388" s="315"/>
      <c r="C1388" s="326"/>
      <c r="D1388" s="315"/>
      <c r="E1388" s="321"/>
      <c r="F1388" s="322"/>
      <c r="G1388" s="315"/>
    </row>
    <row r="1389" spans="1:7" s="32" customFormat="1" x14ac:dyDescent="0.25">
      <c r="A1389" s="315"/>
      <c r="B1389" s="315"/>
      <c r="C1389" s="326"/>
      <c r="D1389" s="315"/>
      <c r="E1389" s="321"/>
      <c r="F1389" s="322"/>
      <c r="G1389" s="315"/>
    </row>
    <row r="1390" spans="1:7" s="32" customFormat="1" x14ac:dyDescent="0.25">
      <c r="A1390" s="315"/>
      <c r="B1390" s="315"/>
      <c r="C1390" s="326"/>
      <c r="D1390" s="315"/>
      <c r="E1390" s="321"/>
      <c r="F1390" s="322"/>
      <c r="G1390" s="315"/>
    </row>
    <row r="1391" spans="1:7" s="32" customFormat="1" x14ac:dyDescent="0.25">
      <c r="A1391" s="315"/>
      <c r="B1391" s="315"/>
      <c r="C1391" s="326"/>
      <c r="D1391" s="315"/>
      <c r="E1391" s="321"/>
      <c r="F1391" s="322"/>
      <c r="G1391" s="315"/>
    </row>
    <row r="1392" spans="1:7" s="32" customFormat="1" x14ac:dyDescent="0.25">
      <c r="A1392" s="315"/>
      <c r="B1392" s="315"/>
      <c r="C1392" s="326"/>
      <c r="D1392" s="315"/>
      <c r="E1392" s="321"/>
      <c r="F1392" s="322"/>
      <c r="G1392" s="315"/>
    </row>
    <row r="1393" spans="1:7" s="32" customFormat="1" x14ac:dyDescent="0.25">
      <c r="A1393" s="315"/>
      <c r="B1393" s="315"/>
      <c r="C1393" s="326"/>
      <c r="D1393" s="315"/>
      <c r="E1393" s="321"/>
      <c r="F1393" s="322"/>
      <c r="G1393" s="315"/>
    </row>
    <row r="1394" spans="1:7" s="32" customFormat="1" x14ac:dyDescent="0.25">
      <c r="A1394" s="315"/>
      <c r="B1394" s="315"/>
      <c r="C1394" s="326"/>
      <c r="D1394" s="315"/>
      <c r="E1394" s="321"/>
      <c r="F1394" s="322"/>
      <c r="G1394" s="315"/>
    </row>
    <row r="1395" spans="1:7" s="32" customFormat="1" x14ac:dyDescent="0.25">
      <c r="A1395" s="315"/>
      <c r="B1395" s="315"/>
      <c r="C1395" s="326"/>
      <c r="D1395" s="315"/>
      <c r="E1395" s="321"/>
      <c r="F1395" s="322"/>
      <c r="G1395" s="315"/>
    </row>
    <row r="1396" spans="1:7" s="32" customFormat="1" x14ac:dyDescent="0.25">
      <c r="A1396" s="315"/>
      <c r="B1396" s="315"/>
      <c r="C1396" s="326"/>
      <c r="D1396" s="315"/>
      <c r="E1396" s="321"/>
      <c r="F1396" s="322"/>
      <c r="G1396" s="315"/>
    </row>
    <row r="1397" spans="1:7" s="32" customFormat="1" x14ac:dyDescent="0.25">
      <c r="A1397" s="315"/>
      <c r="B1397" s="315"/>
      <c r="C1397" s="326"/>
      <c r="D1397" s="315"/>
      <c r="E1397" s="321"/>
      <c r="F1397" s="322"/>
      <c r="G1397" s="315"/>
    </row>
    <row r="1398" spans="1:7" s="32" customFormat="1" x14ac:dyDescent="0.25">
      <c r="A1398" s="315"/>
      <c r="B1398" s="315"/>
      <c r="C1398" s="326"/>
      <c r="D1398" s="315"/>
      <c r="E1398" s="321"/>
      <c r="F1398" s="322"/>
      <c r="G1398" s="315"/>
    </row>
  </sheetData>
  <mergeCells count="22">
    <mergeCell ref="A347:F347"/>
    <mergeCell ref="A394:F394"/>
    <mergeCell ref="A231:F231"/>
    <mergeCell ref="A232:F232"/>
    <mergeCell ref="A270:F270"/>
    <mergeCell ref="A271:F271"/>
    <mergeCell ref="A1:G1"/>
    <mergeCell ref="A434:F434"/>
    <mergeCell ref="A435:F435"/>
    <mergeCell ref="A548:F548"/>
    <mergeCell ref="A478:F478"/>
    <mergeCell ref="A479:F479"/>
    <mergeCell ref="A513:F513"/>
    <mergeCell ref="A514:F514"/>
    <mergeCell ref="A142:F142"/>
    <mergeCell ref="A143:F143"/>
    <mergeCell ref="A96:F96"/>
    <mergeCell ref="A183:F183"/>
    <mergeCell ref="A47:F47"/>
    <mergeCell ref="A48:F48"/>
    <mergeCell ref="A305:F305"/>
    <mergeCell ref="A346:F346"/>
  </mergeCells>
  <pageMargins left="0.51181102362204722" right="0.39370078740157483" top="0.94488188976377963" bottom="0.74803149606299213" header="0.23622047244094491" footer="0.31496062992125984"/>
  <pageSetup paperSize="9" firstPageNumber="59"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H</oddHeader>
    <oddFooter>&amp;L&amp;"Arial,Regular"&amp;9Bill of Quantities&amp;R&amp;"Arial,Regular"&amp;9BOQ.&amp;P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5956-2966-455F-944D-7C3C8DD34E9F}">
  <dimension ref="A1:G907"/>
  <sheetViews>
    <sheetView view="pageBreakPreview" zoomScale="115" zoomScaleNormal="115" zoomScaleSheetLayoutView="115" workbookViewId="0">
      <selection activeCell="A9" sqref="A9:F9"/>
    </sheetView>
  </sheetViews>
  <sheetFormatPr defaultColWidth="8" defaultRowHeight="12" x14ac:dyDescent="0.25"/>
  <cols>
    <col min="1" max="1" width="8.28515625" style="32" bestFit="1" customWidth="1"/>
    <col min="2" max="2" width="35.140625" style="21" customWidth="1"/>
    <col min="3" max="3" width="5.140625" style="32" customWidth="1"/>
    <col min="4" max="4" width="7.140625" style="59" customWidth="1"/>
    <col min="5" max="5" width="12.140625" style="68" customWidth="1"/>
    <col min="6" max="6" width="27.28515625" style="95" customWidth="1"/>
    <col min="7" max="16384" width="8" style="21"/>
  </cols>
  <sheetData>
    <row r="1" spans="1:6" ht="15" customHeight="1" x14ac:dyDescent="0.25">
      <c r="A1" s="539" t="s">
        <v>617</v>
      </c>
      <c r="B1" s="528"/>
      <c r="C1" s="528"/>
      <c r="D1" s="528"/>
      <c r="E1" s="528"/>
      <c r="F1" s="529"/>
    </row>
    <row r="2" spans="1:6" ht="27.75" customHeight="1" x14ac:dyDescent="0.25">
      <c r="A2" s="530" t="s">
        <v>1675</v>
      </c>
      <c r="B2" s="531"/>
      <c r="C2" s="531"/>
      <c r="D2" s="531"/>
      <c r="E2" s="531"/>
      <c r="F2" s="532"/>
    </row>
    <row r="3" spans="1:6" ht="12" customHeight="1" x14ac:dyDescent="0.25">
      <c r="A3" s="535"/>
      <c r="B3" s="536"/>
      <c r="C3" s="536"/>
      <c r="D3" s="536"/>
      <c r="E3" s="536"/>
      <c r="F3" s="537"/>
    </row>
    <row r="4" spans="1:6" ht="30" customHeight="1" x14ac:dyDescent="0.25">
      <c r="A4" s="148" t="s">
        <v>1111</v>
      </c>
      <c r="B4" s="533" t="s">
        <v>0</v>
      </c>
      <c r="C4" s="533"/>
      <c r="D4" s="533"/>
      <c r="E4" s="533"/>
      <c r="F4" s="77" t="s">
        <v>77</v>
      </c>
    </row>
    <row r="5" spans="1:6" ht="9.9499999999999993" customHeight="1" x14ac:dyDescent="0.25">
      <c r="A5" s="535"/>
      <c r="B5" s="536"/>
      <c r="C5" s="536"/>
      <c r="D5" s="536"/>
      <c r="E5" s="536"/>
      <c r="F5" s="537"/>
    </row>
    <row r="6" spans="1:6" ht="39.950000000000003" customHeight="1" x14ac:dyDescent="0.25">
      <c r="A6" s="44" t="s">
        <v>179</v>
      </c>
      <c r="B6" s="534" t="s">
        <v>618</v>
      </c>
      <c r="C6" s="534"/>
      <c r="D6" s="534"/>
      <c r="E6" s="534"/>
      <c r="F6" s="158"/>
    </row>
    <row r="7" spans="1:6" ht="9.9499999999999993" customHeight="1" x14ac:dyDescent="0.25">
      <c r="A7" s="535"/>
      <c r="B7" s="536"/>
      <c r="C7" s="536"/>
      <c r="D7" s="536"/>
      <c r="E7" s="536"/>
      <c r="F7" s="537"/>
    </row>
    <row r="8" spans="1:6" ht="39.950000000000003" customHeight="1" x14ac:dyDescent="0.25">
      <c r="A8" s="44" t="s">
        <v>180</v>
      </c>
      <c r="B8" s="534" t="s">
        <v>792</v>
      </c>
      <c r="C8" s="534"/>
      <c r="D8" s="534"/>
      <c r="E8" s="534"/>
      <c r="F8" s="158"/>
    </row>
    <row r="9" spans="1:6" ht="9.9499999999999993" customHeight="1" x14ac:dyDescent="0.25">
      <c r="A9" s="535"/>
      <c r="B9" s="536"/>
      <c r="C9" s="536"/>
      <c r="D9" s="536"/>
      <c r="E9" s="536"/>
      <c r="F9" s="537"/>
    </row>
    <row r="10" spans="1:6" ht="39.950000000000003" customHeight="1" x14ac:dyDescent="0.25">
      <c r="A10" s="44" t="s">
        <v>390</v>
      </c>
      <c r="B10" s="534" t="s">
        <v>810</v>
      </c>
      <c r="C10" s="534"/>
      <c r="D10" s="534"/>
      <c r="E10" s="534"/>
      <c r="F10" s="299"/>
    </row>
    <row r="11" spans="1:6" ht="9.9499999999999993" customHeight="1" x14ac:dyDescent="0.25">
      <c r="A11" s="535"/>
      <c r="B11" s="536"/>
      <c r="C11" s="536"/>
      <c r="D11" s="536"/>
      <c r="E11" s="536"/>
      <c r="F11" s="537"/>
    </row>
    <row r="12" spans="1:6" ht="39.950000000000003" customHeight="1" x14ac:dyDescent="0.25">
      <c r="A12" s="44" t="s">
        <v>831</v>
      </c>
      <c r="B12" s="534" t="s">
        <v>833</v>
      </c>
      <c r="C12" s="534"/>
      <c r="D12" s="534"/>
      <c r="E12" s="534"/>
      <c r="F12" s="299"/>
    </row>
    <row r="13" spans="1:6" ht="9.9499999999999993" customHeight="1" x14ac:dyDescent="0.25">
      <c r="A13" s="535"/>
      <c r="B13" s="536"/>
      <c r="C13" s="536"/>
      <c r="D13" s="536"/>
      <c r="E13" s="536"/>
      <c r="F13" s="537"/>
    </row>
    <row r="14" spans="1:6" ht="39.950000000000003" customHeight="1" x14ac:dyDescent="0.25">
      <c r="A14" s="44" t="s">
        <v>853</v>
      </c>
      <c r="B14" s="534" t="s">
        <v>854</v>
      </c>
      <c r="C14" s="534"/>
      <c r="D14" s="534"/>
      <c r="E14" s="534"/>
      <c r="F14" s="299"/>
    </row>
    <row r="15" spans="1:6" ht="9.9499999999999993" customHeight="1" x14ac:dyDescent="0.25">
      <c r="A15" s="535"/>
      <c r="B15" s="536"/>
      <c r="C15" s="536"/>
      <c r="D15" s="536"/>
      <c r="E15" s="536"/>
      <c r="F15" s="537"/>
    </row>
    <row r="16" spans="1:6" ht="39.950000000000003" customHeight="1" x14ac:dyDescent="0.25">
      <c r="A16" s="41" t="s">
        <v>735</v>
      </c>
      <c r="B16" s="526" t="s">
        <v>1674</v>
      </c>
      <c r="C16" s="526"/>
      <c r="D16" s="526"/>
      <c r="E16" s="526"/>
      <c r="F16" s="298"/>
    </row>
    <row r="17" spans="1:6" x14ac:dyDescent="0.25">
      <c r="A17" s="300"/>
      <c r="B17" s="301"/>
      <c r="C17" s="301"/>
      <c r="D17" s="301"/>
      <c r="E17" s="301"/>
      <c r="F17" s="302"/>
    </row>
    <row r="18" spans="1:6" x14ac:dyDescent="0.25">
      <c r="A18" s="300"/>
      <c r="B18" s="301"/>
      <c r="C18" s="301"/>
      <c r="D18" s="301"/>
      <c r="E18" s="301"/>
      <c r="F18" s="302"/>
    </row>
    <row r="19" spans="1:6" x14ac:dyDescent="0.25">
      <c r="A19" s="300"/>
      <c r="B19" s="301"/>
      <c r="C19" s="301"/>
      <c r="D19" s="301"/>
      <c r="E19" s="301"/>
      <c r="F19" s="302"/>
    </row>
    <row r="20" spans="1:6" x14ac:dyDescent="0.25">
      <c r="A20" s="300"/>
      <c r="B20" s="301"/>
      <c r="C20" s="301"/>
      <c r="D20" s="301"/>
      <c r="E20" s="301"/>
      <c r="F20" s="302"/>
    </row>
    <row r="21" spans="1:6" x14ac:dyDescent="0.25">
      <c r="A21" s="300"/>
      <c r="B21" s="301"/>
      <c r="C21" s="301"/>
      <c r="D21" s="301"/>
      <c r="E21" s="301"/>
      <c r="F21" s="302"/>
    </row>
    <row r="22" spans="1:6" x14ac:dyDescent="0.25">
      <c r="A22" s="300"/>
      <c r="B22" s="301"/>
      <c r="C22" s="301"/>
      <c r="D22" s="301"/>
      <c r="E22" s="301"/>
      <c r="F22" s="302"/>
    </row>
    <row r="23" spans="1:6" x14ac:dyDescent="0.25">
      <c r="A23" s="300"/>
      <c r="B23" s="301"/>
      <c r="C23" s="301"/>
      <c r="D23" s="301"/>
      <c r="E23" s="301"/>
      <c r="F23" s="302"/>
    </row>
    <row r="24" spans="1:6" x14ac:dyDescent="0.25">
      <c r="A24" s="300"/>
      <c r="B24" s="301"/>
      <c r="C24" s="301"/>
      <c r="D24" s="301"/>
      <c r="E24" s="301"/>
      <c r="F24" s="302"/>
    </row>
    <row r="25" spans="1:6" x14ac:dyDescent="0.25">
      <c r="A25" s="300"/>
      <c r="B25" s="301"/>
      <c r="C25" s="301"/>
      <c r="D25" s="301"/>
      <c r="E25" s="301"/>
      <c r="F25" s="302"/>
    </row>
    <row r="26" spans="1:6" x14ac:dyDescent="0.25">
      <c r="A26" s="300"/>
      <c r="B26" s="301"/>
      <c r="C26" s="301"/>
      <c r="D26" s="301"/>
      <c r="E26" s="301"/>
      <c r="F26" s="302"/>
    </row>
    <row r="27" spans="1:6" x14ac:dyDescent="0.25">
      <c r="A27" s="300"/>
      <c r="B27" s="301"/>
      <c r="C27" s="301"/>
      <c r="D27" s="301"/>
      <c r="E27" s="301"/>
      <c r="F27" s="302"/>
    </row>
    <row r="28" spans="1:6" x14ac:dyDescent="0.25">
      <c r="A28" s="300"/>
      <c r="B28" s="301"/>
      <c r="C28" s="301"/>
      <c r="D28" s="301"/>
      <c r="E28" s="301"/>
      <c r="F28" s="302"/>
    </row>
    <row r="29" spans="1:6" x14ac:dyDescent="0.25">
      <c r="A29" s="300"/>
      <c r="B29" s="301"/>
      <c r="C29" s="301"/>
      <c r="D29" s="301"/>
      <c r="E29" s="301"/>
      <c r="F29" s="302"/>
    </row>
    <row r="30" spans="1:6" x14ac:dyDescent="0.25">
      <c r="A30" s="300"/>
      <c r="B30" s="301"/>
      <c r="C30" s="301"/>
      <c r="D30" s="301"/>
      <c r="E30" s="301"/>
      <c r="F30" s="302"/>
    </row>
    <row r="31" spans="1:6" x14ac:dyDescent="0.25">
      <c r="A31" s="300"/>
      <c r="B31" s="301"/>
      <c r="C31" s="301"/>
      <c r="D31" s="301"/>
      <c r="E31" s="301"/>
      <c r="F31" s="302"/>
    </row>
    <row r="32" spans="1:6" ht="12" customHeight="1" x14ac:dyDescent="0.25">
      <c r="A32" s="303"/>
      <c r="B32" s="304"/>
      <c r="C32" s="35"/>
      <c r="D32" s="305"/>
      <c r="E32" s="306"/>
      <c r="F32" s="302"/>
    </row>
    <row r="33" spans="1:6" ht="12" customHeight="1" x14ac:dyDescent="0.25">
      <c r="A33" s="303"/>
      <c r="B33" s="304"/>
      <c r="C33" s="35"/>
      <c r="D33" s="305"/>
      <c r="E33" s="306"/>
      <c r="F33" s="302"/>
    </row>
    <row r="34" spans="1:6" ht="12" customHeight="1" x14ac:dyDescent="0.25">
      <c r="A34" s="303"/>
      <c r="B34" s="304"/>
      <c r="C34" s="35"/>
      <c r="D34" s="305"/>
      <c r="E34" s="306"/>
      <c r="F34" s="302"/>
    </row>
    <row r="35" spans="1:6" ht="12" customHeight="1" x14ac:dyDescent="0.25">
      <c r="A35" s="303"/>
      <c r="B35" s="304"/>
      <c r="C35" s="35"/>
      <c r="D35" s="305"/>
      <c r="E35" s="306"/>
      <c r="F35" s="302"/>
    </row>
    <row r="36" spans="1:6" ht="12" customHeight="1" x14ac:dyDescent="0.25">
      <c r="A36" s="303"/>
      <c r="B36" s="304"/>
      <c r="C36" s="35"/>
      <c r="D36" s="305"/>
      <c r="E36" s="306"/>
      <c r="F36" s="302"/>
    </row>
    <row r="37" spans="1:6" ht="12" customHeight="1" x14ac:dyDescent="0.25">
      <c r="A37" s="303"/>
      <c r="B37" s="304"/>
      <c r="C37" s="35"/>
      <c r="D37" s="305"/>
      <c r="E37" s="306"/>
      <c r="F37" s="302"/>
    </row>
    <row r="38" spans="1:6" ht="12" customHeight="1" x14ac:dyDescent="0.25">
      <c r="A38" s="303"/>
      <c r="B38" s="304"/>
      <c r="C38" s="35"/>
      <c r="D38" s="305"/>
      <c r="E38" s="306"/>
      <c r="F38" s="302"/>
    </row>
    <row r="39" spans="1:6" ht="12" customHeight="1" x14ac:dyDescent="0.25">
      <c r="A39" s="303"/>
      <c r="B39" s="304"/>
      <c r="C39" s="35"/>
      <c r="D39" s="305"/>
      <c r="E39" s="306"/>
      <c r="F39" s="302"/>
    </row>
    <row r="40" spans="1:6" ht="12" customHeight="1" x14ac:dyDescent="0.25">
      <c r="A40" s="303"/>
      <c r="B40" s="304"/>
      <c r="C40" s="35"/>
      <c r="D40" s="305"/>
      <c r="E40" s="306"/>
      <c r="F40" s="302"/>
    </row>
    <row r="41" spans="1:6" ht="12" customHeight="1" x14ac:dyDescent="0.25">
      <c r="A41" s="303"/>
      <c r="B41" s="304"/>
      <c r="C41" s="35"/>
      <c r="D41" s="305"/>
      <c r="E41" s="306"/>
      <c r="F41" s="302"/>
    </row>
    <row r="42" spans="1:6" ht="12" customHeight="1" x14ac:dyDescent="0.25">
      <c r="A42" s="303"/>
      <c r="B42" s="304"/>
      <c r="C42" s="35"/>
      <c r="D42" s="305"/>
      <c r="E42" s="306"/>
      <c r="F42" s="302"/>
    </row>
    <row r="43" spans="1:6" ht="12" customHeight="1" x14ac:dyDescent="0.25">
      <c r="A43" s="303"/>
      <c r="B43" s="304"/>
      <c r="C43" s="35"/>
      <c r="D43" s="305"/>
      <c r="E43" s="306"/>
      <c r="F43" s="302"/>
    </row>
    <row r="44" spans="1:6" ht="12" customHeight="1" x14ac:dyDescent="0.25">
      <c r="A44" s="303"/>
      <c r="B44" s="304"/>
      <c r="C44" s="35"/>
      <c r="D44" s="305"/>
      <c r="E44" s="306"/>
      <c r="F44" s="302"/>
    </row>
    <row r="45" spans="1:6" ht="12" customHeight="1" x14ac:dyDescent="0.25">
      <c r="A45" s="303"/>
      <c r="B45" s="304"/>
      <c r="C45" s="35"/>
      <c r="D45" s="305"/>
      <c r="E45" s="306"/>
      <c r="F45" s="302"/>
    </row>
    <row r="46" spans="1:6" ht="12" customHeight="1" x14ac:dyDescent="0.25">
      <c r="A46" s="303"/>
      <c r="B46" s="304"/>
      <c r="C46" s="35"/>
      <c r="D46" s="305"/>
      <c r="E46" s="306"/>
      <c r="F46" s="302"/>
    </row>
    <row r="47" spans="1:6" ht="12" customHeight="1" x14ac:dyDescent="0.25">
      <c r="A47" s="303"/>
      <c r="B47" s="304"/>
      <c r="C47" s="35"/>
      <c r="D47" s="305"/>
      <c r="E47" s="306"/>
      <c r="F47" s="302"/>
    </row>
    <row r="48" spans="1:6" ht="12" customHeight="1" x14ac:dyDescent="0.25">
      <c r="A48" s="303"/>
      <c r="B48" s="39"/>
      <c r="C48" s="35"/>
      <c r="D48" s="307"/>
      <c r="E48" s="308"/>
      <c r="F48" s="309"/>
    </row>
    <row r="49" spans="1:7" ht="12" customHeight="1" x14ac:dyDescent="0.25">
      <c r="A49" s="303"/>
      <c r="B49" s="39"/>
      <c r="C49" s="35"/>
      <c r="D49" s="307"/>
      <c r="E49" s="308"/>
      <c r="F49" s="309"/>
    </row>
    <row r="50" spans="1:7" ht="12" customHeight="1" x14ac:dyDescent="0.25">
      <c r="A50" s="303"/>
      <c r="B50" s="304"/>
      <c r="C50" s="35"/>
      <c r="D50" s="307"/>
      <c r="E50" s="308"/>
      <c r="F50" s="309"/>
    </row>
    <row r="51" spans="1:7" ht="12" customHeight="1" x14ac:dyDescent="0.25">
      <c r="A51" s="303"/>
      <c r="B51" s="310"/>
      <c r="C51" s="35"/>
      <c r="D51" s="307"/>
      <c r="E51" s="308"/>
      <c r="F51" s="309"/>
    </row>
    <row r="52" spans="1:7" ht="12" customHeight="1" x14ac:dyDescent="0.25">
      <c r="A52" s="303"/>
      <c r="B52" s="311"/>
      <c r="C52" s="35"/>
      <c r="D52" s="307"/>
      <c r="E52" s="308"/>
      <c r="F52" s="309"/>
    </row>
    <row r="53" spans="1:7" s="32" customFormat="1" ht="15" customHeight="1" x14ac:dyDescent="0.25">
      <c r="B53" s="39"/>
      <c r="D53" s="59"/>
      <c r="E53" s="68"/>
      <c r="F53" s="95"/>
      <c r="G53" s="21"/>
    </row>
    <row r="54" spans="1:7" s="32" customFormat="1" ht="15" customHeight="1" x14ac:dyDescent="0.25">
      <c r="B54" s="39"/>
      <c r="D54" s="59"/>
      <c r="E54" s="68"/>
      <c r="F54" s="95"/>
      <c r="G54" s="21"/>
    </row>
    <row r="55" spans="1:7" s="32" customFormat="1" ht="15" customHeight="1" x14ac:dyDescent="0.25">
      <c r="B55" s="39"/>
      <c r="D55" s="59"/>
      <c r="E55" s="68"/>
      <c r="F55" s="95"/>
      <c r="G55" s="21"/>
    </row>
    <row r="56" spans="1:7" s="32" customFormat="1" ht="15" customHeight="1" x14ac:dyDescent="0.25">
      <c r="B56" s="39"/>
      <c r="D56" s="59"/>
      <c r="E56" s="68"/>
      <c r="F56" s="95"/>
      <c r="G56" s="21"/>
    </row>
    <row r="57" spans="1:7" s="32" customFormat="1" ht="15" customHeight="1" x14ac:dyDescent="0.25">
      <c r="B57" s="39"/>
      <c r="D57" s="59"/>
      <c r="E57" s="68"/>
      <c r="F57" s="95"/>
      <c r="G57" s="21"/>
    </row>
    <row r="58" spans="1:7" s="32" customFormat="1" ht="15" customHeight="1" x14ac:dyDescent="0.25">
      <c r="B58" s="39"/>
      <c r="D58" s="59"/>
      <c r="E58" s="68"/>
      <c r="F58" s="95"/>
      <c r="G58" s="21"/>
    </row>
    <row r="59" spans="1:7" s="32" customFormat="1" ht="15" customHeight="1" x14ac:dyDescent="0.25">
      <c r="B59" s="39"/>
      <c r="D59" s="59"/>
      <c r="E59" s="68"/>
      <c r="F59" s="95"/>
      <c r="G59" s="21"/>
    </row>
    <row r="60" spans="1:7" s="32" customFormat="1" ht="15" customHeight="1" x14ac:dyDescent="0.25">
      <c r="B60" s="39"/>
      <c r="D60" s="59"/>
      <c r="E60" s="68"/>
      <c r="F60" s="95"/>
      <c r="G60" s="21"/>
    </row>
    <row r="61" spans="1:7" s="32" customFormat="1" ht="15" customHeight="1" x14ac:dyDescent="0.25">
      <c r="B61" s="39"/>
      <c r="D61" s="59"/>
      <c r="E61" s="68"/>
      <c r="F61" s="95"/>
      <c r="G61" s="21"/>
    </row>
    <row r="62" spans="1:7" s="32" customFormat="1" ht="15" customHeight="1" x14ac:dyDescent="0.25">
      <c r="B62" s="39"/>
      <c r="D62" s="59"/>
      <c r="E62" s="68"/>
      <c r="F62" s="95"/>
      <c r="G62" s="21"/>
    </row>
    <row r="63" spans="1:7" s="32" customFormat="1" ht="15" customHeight="1" x14ac:dyDescent="0.25">
      <c r="B63" s="39"/>
      <c r="D63" s="59"/>
      <c r="E63" s="68"/>
      <c r="F63" s="95"/>
      <c r="G63" s="21"/>
    </row>
    <row r="64" spans="1:7" s="32" customFormat="1" ht="15" customHeight="1" x14ac:dyDescent="0.25">
      <c r="B64" s="39"/>
      <c r="D64" s="59"/>
      <c r="E64" s="68"/>
      <c r="F64" s="95"/>
      <c r="G64" s="21"/>
    </row>
    <row r="65" spans="2:7" s="32" customFormat="1" ht="15" customHeight="1" x14ac:dyDescent="0.25">
      <c r="B65" s="39"/>
      <c r="D65" s="59"/>
      <c r="E65" s="68"/>
      <c r="F65" s="95"/>
      <c r="G65" s="21"/>
    </row>
    <row r="66" spans="2:7" s="32" customFormat="1" ht="15" customHeight="1" x14ac:dyDescent="0.25">
      <c r="B66" s="39"/>
      <c r="D66" s="59"/>
      <c r="E66" s="68"/>
      <c r="F66" s="95"/>
      <c r="G66" s="21"/>
    </row>
    <row r="67" spans="2:7" s="32" customFormat="1" ht="15" customHeight="1" x14ac:dyDescent="0.25">
      <c r="B67" s="39"/>
      <c r="D67" s="59"/>
      <c r="E67" s="68"/>
      <c r="F67" s="95"/>
      <c r="G67" s="21"/>
    </row>
    <row r="68" spans="2:7" s="32" customFormat="1" ht="15" customHeight="1" x14ac:dyDescent="0.25">
      <c r="B68" s="39"/>
      <c r="D68" s="59"/>
      <c r="E68" s="68"/>
      <c r="F68" s="95"/>
      <c r="G68" s="21"/>
    </row>
    <row r="69" spans="2:7" s="32" customFormat="1" ht="15" customHeight="1" x14ac:dyDescent="0.25">
      <c r="B69" s="39"/>
      <c r="D69" s="59"/>
      <c r="E69" s="68"/>
      <c r="F69" s="95"/>
      <c r="G69" s="21"/>
    </row>
    <row r="70" spans="2:7" s="32" customFormat="1" ht="15" customHeight="1" x14ac:dyDescent="0.25">
      <c r="B70" s="39"/>
      <c r="D70" s="59"/>
      <c r="E70" s="68"/>
      <c r="F70" s="95"/>
      <c r="G70" s="21"/>
    </row>
    <row r="71" spans="2:7" s="32" customFormat="1" ht="15" customHeight="1" x14ac:dyDescent="0.25">
      <c r="B71" s="39"/>
      <c r="D71" s="59"/>
      <c r="E71" s="68"/>
      <c r="F71" s="95"/>
      <c r="G71" s="21"/>
    </row>
    <row r="72" spans="2:7" s="32" customFormat="1" ht="15" customHeight="1" x14ac:dyDescent="0.25">
      <c r="B72" s="39"/>
      <c r="D72" s="59"/>
      <c r="E72" s="68"/>
      <c r="F72" s="95"/>
      <c r="G72" s="21"/>
    </row>
    <row r="73" spans="2:7" s="32" customFormat="1" ht="15" customHeight="1" x14ac:dyDescent="0.25">
      <c r="B73" s="39"/>
      <c r="D73" s="59"/>
      <c r="E73" s="68"/>
      <c r="F73" s="95"/>
      <c r="G73" s="21"/>
    </row>
    <row r="74" spans="2:7" s="32" customFormat="1" ht="15" customHeight="1" x14ac:dyDescent="0.25">
      <c r="B74" s="39"/>
      <c r="D74" s="59"/>
      <c r="E74" s="68"/>
      <c r="F74" s="95"/>
      <c r="G74" s="21"/>
    </row>
    <row r="75" spans="2:7" s="32" customFormat="1" ht="15" customHeight="1" x14ac:dyDescent="0.25">
      <c r="B75" s="39"/>
      <c r="D75" s="59"/>
      <c r="E75" s="68"/>
      <c r="F75" s="95"/>
      <c r="G75" s="21"/>
    </row>
    <row r="76" spans="2:7" s="32" customFormat="1" ht="15" customHeight="1" x14ac:dyDescent="0.25">
      <c r="B76" s="39"/>
      <c r="D76" s="59"/>
      <c r="E76" s="68"/>
      <c r="F76" s="95"/>
      <c r="G76" s="21"/>
    </row>
    <row r="77" spans="2:7" s="32" customFormat="1" ht="15" customHeight="1" x14ac:dyDescent="0.25">
      <c r="B77" s="39"/>
      <c r="D77" s="59"/>
      <c r="E77" s="68"/>
      <c r="F77" s="95"/>
      <c r="G77" s="21"/>
    </row>
    <row r="78" spans="2:7" s="32" customFormat="1" ht="15" customHeight="1" x14ac:dyDescent="0.25">
      <c r="B78" s="39"/>
      <c r="D78" s="59"/>
      <c r="E78" s="68"/>
      <c r="F78" s="95"/>
      <c r="G78" s="21"/>
    </row>
    <row r="79" spans="2:7" s="32" customFormat="1" ht="15" customHeight="1" x14ac:dyDescent="0.25">
      <c r="B79" s="39"/>
      <c r="D79" s="59"/>
      <c r="E79" s="68"/>
      <c r="F79" s="95"/>
      <c r="G79" s="21"/>
    </row>
    <row r="80" spans="2:7" s="32" customFormat="1" ht="15" customHeight="1" x14ac:dyDescent="0.25">
      <c r="B80" s="39"/>
      <c r="D80" s="59"/>
      <c r="E80" s="68"/>
      <c r="F80" s="95"/>
      <c r="G80" s="21"/>
    </row>
    <row r="81" spans="2:7" s="32" customFormat="1" ht="15" customHeight="1" x14ac:dyDescent="0.25">
      <c r="B81" s="39"/>
      <c r="D81" s="59"/>
      <c r="E81" s="68"/>
      <c r="F81" s="95"/>
      <c r="G81" s="21"/>
    </row>
    <row r="82" spans="2:7" s="32" customFormat="1" ht="15" customHeight="1" x14ac:dyDescent="0.25">
      <c r="B82" s="39"/>
      <c r="D82" s="59"/>
      <c r="E82" s="68"/>
      <c r="F82" s="95"/>
      <c r="G82" s="21"/>
    </row>
    <row r="83" spans="2:7" s="32" customFormat="1" ht="15" customHeight="1" x14ac:dyDescent="0.25">
      <c r="B83" s="39"/>
      <c r="D83" s="59"/>
      <c r="E83" s="68"/>
      <c r="F83" s="95"/>
      <c r="G83" s="21"/>
    </row>
    <row r="84" spans="2:7" s="32" customFormat="1" ht="15" customHeight="1" x14ac:dyDescent="0.25">
      <c r="B84" s="39"/>
      <c r="D84" s="59"/>
      <c r="E84" s="68"/>
      <c r="F84" s="95"/>
      <c r="G84" s="21"/>
    </row>
    <row r="85" spans="2:7" s="32" customFormat="1" ht="15" customHeight="1" x14ac:dyDescent="0.25">
      <c r="B85" s="39"/>
      <c r="D85" s="59"/>
      <c r="E85" s="68"/>
      <c r="F85" s="95"/>
      <c r="G85" s="21"/>
    </row>
    <row r="86" spans="2:7" s="32" customFormat="1" ht="15" customHeight="1" x14ac:dyDescent="0.25">
      <c r="B86" s="39"/>
      <c r="D86" s="59"/>
      <c r="E86" s="68"/>
      <c r="F86" s="95"/>
      <c r="G86" s="21"/>
    </row>
    <row r="87" spans="2:7" s="32" customFormat="1" ht="15" customHeight="1" x14ac:dyDescent="0.25">
      <c r="B87" s="39"/>
      <c r="D87" s="59"/>
      <c r="E87" s="68"/>
      <c r="F87" s="95"/>
      <c r="G87" s="21"/>
    </row>
    <row r="88" spans="2:7" s="32" customFormat="1" ht="15" customHeight="1" x14ac:dyDescent="0.25">
      <c r="B88" s="39"/>
      <c r="D88" s="59"/>
      <c r="E88" s="68"/>
      <c r="F88" s="95"/>
      <c r="G88" s="21"/>
    </row>
    <row r="89" spans="2:7" s="32" customFormat="1" ht="15" customHeight="1" x14ac:dyDescent="0.25">
      <c r="B89" s="39"/>
      <c r="D89" s="59"/>
      <c r="E89" s="68"/>
      <c r="F89" s="95"/>
      <c r="G89" s="21"/>
    </row>
    <row r="90" spans="2:7" s="32" customFormat="1" ht="15" customHeight="1" x14ac:dyDescent="0.25">
      <c r="B90" s="39"/>
      <c r="D90" s="59"/>
      <c r="E90" s="68"/>
      <c r="F90" s="95"/>
      <c r="G90" s="21"/>
    </row>
    <row r="91" spans="2:7" s="32" customFormat="1" ht="15" customHeight="1" x14ac:dyDescent="0.25">
      <c r="B91" s="39"/>
      <c r="D91" s="59"/>
      <c r="E91" s="68"/>
      <c r="F91" s="95"/>
      <c r="G91" s="21"/>
    </row>
    <row r="92" spans="2:7" s="32" customFormat="1" ht="15" customHeight="1" x14ac:dyDescent="0.25">
      <c r="B92" s="39"/>
      <c r="D92" s="59"/>
      <c r="E92" s="68"/>
      <c r="F92" s="95"/>
      <c r="G92" s="21"/>
    </row>
    <row r="93" spans="2:7" s="32" customFormat="1" ht="15" customHeight="1" x14ac:dyDescent="0.25">
      <c r="B93" s="39"/>
      <c r="D93" s="59"/>
      <c r="E93" s="68"/>
      <c r="F93" s="95"/>
      <c r="G93" s="21"/>
    </row>
    <row r="94" spans="2:7" s="32" customFormat="1" ht="15" customHeight="1" x14ac:dyDescent="0.25">
      <c r="B94" s="39"/>
      <c r="D94" s="59"/>
      <c r="E94" s="68"/>
      <c r="F94" s="95"/>
      <c r="G94" s="21"/>
    </row>
    <row r="95" spans="2:7" s="32" customFormat="1" ht="15" customHeight="1" x14ac:dyDescent="0.25">
      <c r="B95" s="39"/>
      <c r="D95" s="59"/>
      <c r="E95" s="68"/>
      <c r="F95" s="95"/>
      <c r="G95" s="21"/>
    </row>
    <row r="96" spans="2:7" s="32" customFormat="1" ht="15" customHeight="1" x14ac:dyDescent="0.25">
      <c r="B96" s="39"/>
      <c r="D96" s="59"/>
      <c r="E96" s="68"/>
      <c r="F96" s="95"/>
      <c r="G96" s="21"/>
    </row>
    <row r="97" spans="2:7" s="32" customFormat="1" ht="15" customHeight="1" x14ac:dyDescent="0.25">
      <c r="B97" s="39"/>
      <c r="D97" s="59"/>
      <c r="E97" s="68"/>
      <c r="F97" s="95"/>
      <c r="G97" s="21"/>
    </row>
    <row r="98" spans="2:7" s="32" customFormat="1" ht="15" customHeight="1" x14ac:dyDescent="0.25">
      <c r="B98" s="39"/>
      <c r="D98" s="59"/>
      <c r="E98" s="68"/>
      <c r="F98" s="95"/>
      <c r="G98" s="21"/>
    </row>
    <row r="99" spans="2:7" s="32" customFormat="1" ht="15" customHeight="1" x14ac:dyDescent="0.25">
      <c r="B99" s="39"/>
      <c r="D99" s="59"/>
      <c r="E99" s="68"/>
      <c r="F99" s="95"/>
      <c r="G99" s="21"/>
    </row>
    <row r="100" spans="2:7" s="32" customFormat="1" ht="15" customHeight="1" x14ac:dyDescent="0.25">
      <c r="B100" s="39"/>
      <c r="D100" s="59"/>
      <c r="E100" s="68"/>
      <c r="F100" s="95"/>
      <c r="G100" s="21"/>
    </row>
    <row r="101" spans="2:7" s="32" customFormat="1" ht="15" customHeight="1" x14ac:dyDescent="0.25">
      <c r="B101" s="39"/>
      <c r="D101" s="59"/>
      <c r="E101" s="68"/>
      <c r="F101" s="95"/>
      <c r="G101" s="21"/>
    </row>
    <row r="102" spans="2:7" s="32" customFormat="1" ht="15" customHeight="1" x14ac:dyDescent="0.25">
      <c r="B102" s="39"/>
      <c r="D102" s="59"/>
      <c r="E102" s="68"/>
      <c r="F102" s="95"/>
      <c r="G102" s="21"/>
    </row>
    <row r="103" spans="2:7" s="32" customFormat="1" ht="15" customHeight="1" x14ac:dyDescent="0.25">
      <c r="B103" s="39"/>
      <c r="D103" s="59"/>
      <c r="E103" s="68"/>
      <c r="F103" s="95"/>
      <c r="G103" s="21"/>
    </row>
    <row r="104" spans="2:7" s="32" customFormat="1" ht="15" customHeight="1" x14ac:dyDescent="0.25">
      <c r="B104" s="39"/>
      <c r="D104" s="59"/>
      <c r="E104" s="68"/>
      <c r="F104" s="95"/>
      <c r="G104" s="21"/>
    </row>
    <row r="105" spans="2:7" s="32" customFormat="1" ht="15" customHeight="1" x14ac:dyDescent="0.25">
      <c r="B105" s="39"/>
      <c r="D105" s="59"/>
      <c r="E105" s="68"/>
      <c r="F105" s="95"/>
      <c r="G105" s="21"/>
    </row>
    <row r="106" spans="2:7" s="32" customFormat="1" ht="15" customHeight="1" x14ac:dyDescent="0.25">
      <c r="B106" s="39"/>
      <c r="D106" s="59"/>
      <c r="E106" s="68"/>
      <c r="F106" s="95"/>
      <c r="G106" s="21"/>
    </row>
    <row r="107" spans="2:7" s="32" customFormat="1" ht="15" customHeight="1" x14ac:dyDescent="0.25">
      <c r="B107" s="39"/>
      <c r="D107" s="59"/>
      <c r="E107" s="68"/>
      <c r="F107" s="95"/>
      <c r="G107" s="21"/>
    </row>
    <row r="108" spans="2:7" s="32" customFormat="1" ht="15" customHeight="1" x14ac:dyDescent="0.25">
      <c r="B108" s="39"/>
      <c r="D108" s="59"/>
      <c r="E108" s="68"/>
      <c r="F108" s="95"/>
      <c r="G108" s="21"/>
    </row>
    <row r="109" spans="2:7" s="32" customFormat="1" ht="15" customHeight="1" x14ac:dyDescent="0.25">
      <c r="B109" s="39"/>
      <c r="D109" s="59"/>
      <c r="E109" s="68"/>
      <c r="F109" s="95"/>
      <c r="G109" s="21"/>
    </row>
    <row r="110" spans="2:7" s="32" customFormat="1" ht="15" customHeight="1" x14ac:dyDescent="0.25">
      <c r="B110" s="39"/>
      <c r="D110" s="59"/>
      <c r="E110" s="68"/>
      <c r="F110" s="95"/>
      <c r="G110" s="21"/>
    </row>
    <row r="111" spans="2:7" s="32" customFormat="1" ht="15" customHeight="1" x14ac:dyDescent="0.25">
      <c r="B111" s="39"/>
      <c r="D111" s="59"/>
      <c r="E111" s="68"/>
      <c r="F111" s="95"/>
      <c r="G111" s="21"/>
    </row>
    <row r="112" spans="2:7" s="32" customFormat="1" ht="15" customHeight="1" x14ac:dyDescent="0.25">
      <c r="B112" s="39"/>
      <c r="D112" s="59"/>
      <c r="E112" s="68"/>
      <c r="F112" s="95"/>
      <c r="G112" s="21"/>
    </row>
    <row r="113" spans="2:7" s="32" customFormat="1" ht="15" customHeight="1" x14ac:dyDescent="0.25">
      <c r="B113" s="39"/>
      <c r="D113" s="59"/>
      <c r="E113" s="68"/>
      <c r="F113" s="95"/>
      <c r="G113" s="21"/>
    </row>
    <row r="114" spans="2:7" s="32" customFormat="1" ht="15" customHeight="1" x14ac:dyDescent="0.25">
      <c r="B114" s="39"/>
      <c r="D114" s="59"/>
      <c r="E114" s="68"/>
      <c r="F114" s="95"/>
      <c r="G114" s="21"/>
    </row>
    <row r="115" spans="2:7" s="32" customFormat="1" ht="15" customHeight="1" x14ac:dyDescent="0.25">
      <c r="B115" s="39"/>
      <c r="D115" s="59"/>
      <c r="E115" s="68"/>
      <c r="F115" s="95"/>
      <c r="G115" s="21"/>
    </row>
    <row r="116" spans="2:7" s="32" customFormat="1" ht="15" customHeight="1" x14ac:dyDescent="0.25">
      <c r="B116" s="39"/>
      <c r="D116" s="59"/>
      <c r="E116" s="68"/>
      <c r="F116" s="95"/>
      <c r="G116" s="21"/>
    </row>
    <row r="117" spans="2:7" s="32" customFormat="1" ht="15" customHeight="1" x14ac:dyDescent="0.25">
      <c r="B117" s="39"/>
      <c r="D117" s="59"/>
      <c r="E117" s="68"/>
      <c r="F117" s="95"/>
      <c r="G117" s="21"/>
    </row>
    <row r="118" spans="2:7" s="32" customFormat="1" ht="15" customHeight="1" x14ac:dyDescent="0.25">
      <c r="B118" s="39"/>
      <c r="D118" s="59"/>
      <c r="E118" s="68"/>
      <c r="F118" s="95"/>
      <c r="G118" s="21"/>
    </row>
    <row r="119" spans="2:7" s="32" customFormat="1" ht="15" customHeight="1" x14ac:dyDescent="0.25">
      <c r="B119" s="39"/>
      <c r="D119" s="59"/>
      <c r="E119" s="68"/>
      <c r="F119" s="95"/>
      <c r="G119" s="21"/>
    </row>
    <row r="120" spans="2:7" s="32" customFormat="1" ht="15" customHeight="1" x14ac:dyDescent="0.25">
      <c r="B120" s="39"/>
      <c r="D120" s="59"/>
      <c r="E120" s="68"/>
      <c r="F120" s="95"/>
      <c r="G120" s="21"/>
    </row>
    <row r="121" spans="2:7" s="32" customFormat="1" ht="15" customHeight="1" x14ac:dyDescent="0.25">
      <c r="B121" s="39"/>
      <c r="D121" s="59"/>
      <c r="E121" s="68"/>
      <c r="F121" s="95"/>
      <c r="G121" s="21"/>
    </row>
    <row r="122" spans="2:7" s="32" customFormat="1" ht="15" customHeight="1" x14ac:dyDescent="0.25">
      <c r="B122" s="39"/>
      <c r="D122" s="59"/>
      <c r="E122" s="68"/>
      <c r="F122" s="95"/>
      <c r="G122" s="21"/>
    </row>
    <row r="123" spans="2:7" s="32" customFormat="1" ht="15" customHeight="1" x14ac:dyDescent="0.25">
      <c r="B123" s="39"/>
      <c r="D123" s="59"/>
      <c r="E123" s="68"/>
      <c r="F123" s="95"/>
      <c r="G123" s="21"/>
    </row>
    <row r="124" spans="2:7" s="32" customFormat="1" ht="15" customHeight="1" x14ac:dyDescent="0.25">
      <c r="B124" s="39"/>
      <c r="D124" s="59"/>
      <c r="E124" s="68"/>
      <c r="F124" s="95"/>
      <c r="G124" s="21"/>
    </row>
    <row r="125" spans="2:7" s="32" customFormat="1" ht="15" customHeight="1" x14ac:dyDescent="0.25">
      <c r="B125" s="39"/>
      <c r="D125" s="59"/>
      <c r="E125" s="68"/>
      <c r="F125" s="95"/>
      <c r="G125" s="21"/>
    </row>
    <row r="126" spans="2:7" s="32" customFormat="1" ht="15" customHeight="1" x14ac:dyDescent="0.25">
      <c r="B126" s="39"/>
      <c r="D126" s="59"/>
      <c r="E126" s="68"/>
      <c r="F126" s="95"/>
      <c r="G126" s="21"/>
    </row>
    <row r="127" spans="2:7" s="32" customFormat="1" ht="15" customHeight="1" x14ac:dyDescent="0.25">
      <c r="B127" s="39"/>
      <c r="D127" s="59"/>
      <c r="E127" s="68"/>
      <c r="F127" s="95"/>
      <c r="G127" s="21"/>
    </row>
    <row r="128" spans="2:7" s="32" customFormat="1" ht="15" customHeight="1" x14ac:dyDescent="0.25">
      <c r="B128" s="39"/>
      <c r="D128" s="59"/>
      <c r="E128" s="68"/>
      <c r="F128" s="95"/>
      <c r="G128" s="21"/>
    </row>
    <row r="129" spans="2:7" s="32" customFormat="1" ht="15" customHeight="1" x14ac:dyDescent="0.25">
      <c r="B129" s="39"/>
      <c r="D129" s="59"/>
      <c r="E129" s="68"/>
      <c r="F129" s="95"/>
      <c r="G129" s="21"/>
    </row>
    <row r="130" spans="2:7" s="32" customFormat="1" ht="15" customHeight="1" x14ac:dyDescent="0.25">
      <c r="B130" s="39"/>
      <c r="D130" s="59"/>
      <c r="E130" s="68"/>
      <c r="F130" s="95"/>
      <c r="G130" s="21"/>
    </row>
    <row r="131" spans="2:7" s="32" customFormat="1" ht="15" customHeight="1" x14ac:dyDescent="0.25">
      <c r="B131" s="39"/>
      <c r="D131" s="59"/>
      <c r="E131" s="68"/>
      <c r="F131" s="95"/>
      <c r="G131" s="21"/>
    </row>
    <row r="132" spans="2:7" s="32" customFormat="1" ht="15" customHeight="1" x14ac:dyDescent="0.25">
      <c r="B132" s="39"/>
      <c r="D132" s="59"/>
      <c r="E132" s="68"/>
      <c r="F132" s="95"/>
      <c r="G132" s="21"/>
    </row>
    <row r="133" spans="2:7" s="32" customFormat="1" ht="15" customHeight="1" x14ac:dyDescent="0.25">
      <c r="B133" s="39"/>
      <c r="D133" s="59"/>
      <c r="E133" s="68"/>
      <c r="F133" s="95"/>
      <c r="G133" s="21"/>
    </row>
    <row r="134" spans="2:7" s="32" customFormat="1" ht="15" customHeight="1" x14ac:dyDescent="0.25">
      <c r="B134" s="39"/>
      <c r="D134" s="59"/>
      <c r="E134" s="68"/>
      <c r="F134" s="95"/>
      <c r="G134" s="21"/>
    </row>
    <row r="135" spans="2:7" s="32" customFormat="1" ht="15" customHeight="1" x14ac:dyDescent="0.25">
      <c r="B135" s="39"/>
      <c r="D135" s="59"/>
      <c r="E135" s="68"/>
      <c r="F135" s="95"/>
      <c r="G135" s="21"/>
    </row>
    <row r="136" spans="2:7" s="32" customFormat="1" ht="15" customHeight="1" x14ac:dyDescent="0.25">
      <c r="B136" s="39"/>
      <c r="D136" s="59"/>
      <c r="E136" s="68"/>
      <c r="F136" s="95"/>
      <c r="G136" s="21"/>
    </row>
    <row r="137" spans="2:7" s="32" customFormat="1" ht="15" customHeight="1" x14ac:dyDescent="0.25">
      <c r="B137" s="39"/>
      <c r="D137" s="59"/>
      <c r="E137" s="68"/>
      <c r="F137" s="95"/>
      <c r="G137" s="21"/>
    </row>
    <row r="138" spans="2:7" s="32" customFormat="1" ht="15" customHeight="1" x14ac:dyDescent="0.25">
      <c r="B138" s="39"/>
      <c r="D138" s="59"/>
      <c r="E138" s="68"/>
      <c r="F138" s="95"/>
      <c r="G138" s="21"/>
    </row>
    <row r="139" spans="2:7" s="32" customFormat="1" ht="15" customHeight="1" x14ac:dyDescent="0.25">
      <c r="B139" s="39"/>
      <c r="D139" s="59"/>
      <c r="E139" s="68"/>
      <c r="F139" s="95"/>
      <c r="G139" s="21"/>
    </row>
    <row r="140" spans="2:7" s="32" customFormat="1" ht="15" customHeight="1" x14ac:dyDescent="0.25">
      <c r="B140" s="39"/>
      <c r="D140" s="59"/>
      <c r="E140" s="68"/>
      <c r="F140" s="95"/>
      <c r="G140" s="21"/>
    </row>
    <row r="141" spans="2:7" s="32" customFormat="1" ht="15" customHeight="1" x14ac:dyDescent="0.25">
      <c r="B141" s="39"/>
      <c r="D141" s="59"/>
      <c r="E141" s="68"/>
      <c r="F141" s="95"/>
      <c r="G141" s="21"/>
    </row>
    <row r="142" spans="2:7" s="32" customFormat="1" ht="15" customHeight="1" x14ac:dyDescent="0.25">
      <c r="B142" s="39"/>
      <c r="D142" s="59"/>
      <c r="E142" s="68"/>
      <c r="F142" s="95"/>
      <c r="G142" s="21"/>
    </row>
    <row r="143" spans="2:7" s="32" customFormat="1" ht="15" customHeight="1" x14ac:dyDescent="0.25">
      <c r="B143" s="39"/>
      <c r="D143" s="59"/>
      <c r="E143" s="68"/>
      <c r="F143" s="95"/>
      <c r="G143" s="21"/>
    </row>
    <row r="144" spans="2:7" s="32" customFormat="1" ht="15" customHeight="1" x14ac:dyDescent="0.25">
      <c r="B144" s="39"/>
      <c r="D144" s="59"/>
      <c r="E144" s="68"/>
      <c r="F144" s="95"/>
      <c r="G144" s="21"/>
    </row>
    <row r="145" spans="2:7" s="32" customFormat="1" ht="15" customHeight="1" x14ac:dyDescent="0.25">
      <c r="B145" s="39"/>
      <c r="D145" s="59"/>
      <c r="E145" s="68"/>
      <c r="F145" s="95"/>
      <c r="G145" s="21"/>
    </row>
    <row r="146" spans="2:7" s="32" customFormat="1" ht="15" customHeight="1" x14ac:dyDescent="0.25">
      <c r="B146" s="39"/>
      <c r="D146" s="59"/>
      <c r="E146" s="68"/>
      <c r="F146" s="95"/>
      <c r="G146" s="21"/>
    </row>
    <row r="147" spans="2:7" s="32" customFormat="1" ht="15" customHeight="1" x14ac:dyDescent="0.25">
      <c r="B147" s="39"/>
      <c r="D147" s="59"/>
      <c r="E147" s="68"/>
      <c r="F147" s="95"/>
      <c r="G147" s="21"/>
    </row>
    <row r="148" spans="2:7" s="32" customFormat="1" ht="15" customHeight="1" x14ac:dyDescent="0.25">
      <c r="B148" s="39"/>
      <c r="D148" s="59"/>
      <c r="E148" s="68"/>
      <c r="F148" s="95"/>
      <c r="G148" s="21"/>
    </row>
    <row r="149" spans="2:7" s="32" customFormat="1" ht="15" customHeight="1" x14ac:dyDescent="0.25">
      <c r="B149" s="39"/>
      <c r="D149" s="59"/>
      <c r="E149" s="68"/>
      <c r="F149" s="95"/>
      <c r="G149" s="21"/>
    </row>
    <row r="150" spans="2:7" s="32" customFormat="1" ht="15" customHeight="1" x14ac:dyDescent="0.25">
      <c r="B150" s="39"/>
      <c r="D150" s="59"/>
      <c r="E150" s="68"/>
      <c r="F150" s="95"/>
      <c r="G150" s="21"/>
    </row>
    <row r="151" spans="2:7" s="32" customFormat="1" ht="15" customHeight="1" x14ac:dyDescent="0.25">
      <c r="B151" s="39"/>
      <c r="D151" s="59"/>
      <c r="E151" s="68"/>
      <c r="F151" s="95"/>
      <c r="G151" s="21"/>
    </row>
    <row r="152" spans="2:7" s="32" customFormat="1" ht="15" customHeight="1" x14ac:dyDescent="0.25">
      <c r="B152" s="39"/>
      <c r="D152" s="59"/>
      <c r="E152" s="68"/>
      <c r="F152" s="95"/>
      <c r="G152" s="21"/>
    </row>
    <row r="153" spans="2:7" s="32" customFormat="1" ht="15" customHeight="1" x14ac:dyDescent="0.25">
      <c r="B153" s="39"/>
      <c r="D153" s="59"/>
      <c r="E153" s="68"/>
      <c r="F153" s="95"/>
      <c r="G153" s="21"/>
    </row>
    <row r="154" spans="2:7" s="32" customFormat="1" ht="15" customHeight="1" x14ac:dyDescent="0.25">
      <c r="B154" s="39"/>
      <c r="D154" s="59"/>
      <c r="E154" s="68"/>
      <c r="F154" s="95"/>
      <c r="G154" s="21"/>
    </row>
    <row r="155" spans="2:7" s="32" customFormat="1" ht="15" customHeight="1" x14ac:dyDescent="0.25">
      <c r="B155" s="39"/>
      <c r="D155" s="59"/>
      <c r="E155" s="68"/>
      <c r="F155" s="95"/>
      <c r="G155" s="21"/>
    </row>
    <row r="156" spans="2:7" s="32" customFormat="1" ht="15" customHeight="1" x14ac:dyDescent="0.25">
      <c r="B156" s="39"/>
      <c r="D156" s="59"/>
      <c r="E156" s="68"/>
      <c r="F156" s="95"/>
      <c r="G156" s="21"/>
    </row>
    <row r="157" spans="2:7" s="32" customFormat="1" ht="15" customHeight="1" x14ac:dyDescent="0.25">
      <c r="B157" s="39"/>
      <c r="D157" s="59"/>
      <c r="E157" s="68"/>
      <c r="F157" s="95"/>
      <c r="G157" s="21"/>
    </row>
    <row r="158" spans="2:7" s="32" customFormat="1" ht="15" customHeight="1" x14ac:dyDescent="0.25">
      <c r="B158" s="39"/>
      <c r="D158" s="59"/>
      <c r="E158" s="68"/>
      <c r="F158" s="95"/>
      <c r="G158" s="21"/>
    </row>
    <row r="159" spans="2:7" s="32" customFormat="1" ht="15" customHeight="1" x14ac:dyDescent="0.25">
      <c r="B159" s="39"/>
      <c r="D159" s="59"/>
      <c r="E159" s="68"/>
      <c r="F159" s="95"/>
      <c r="G159" s="21"/>
    </row>
    <row r="160" spans="2:7" s="32" customFormat="1" ht="15" customHeight="1" x14ac:dyDescent="0.25">
      <c r="B160" s="39"/>
      <c r="D160" s="59"/>
      <c r="E160" s="68"/>
      <c r="F160" s="95"/>
      <c r="G160" s="21"/>
    </row>
    <row r="161" spans="2:7" s="32" customFormat="1" ht="15" customHeight="1" x14ac:dyDescent="0.25">
      <c r="B161" s="39"/>
      <c r="D161" s="59"/>
      <c r="E161" s="68"/>
      <c r="F161" s="95"/>
      <c r="G161" s="21"/>
    </row>
    <row r="162" spans="2:7" s="32" customFormat="1" ht="15" customHeight="1" x14ac:dyDescent="0.25">
      <c r="B162" s="39"/>
      <c r="D162" s="59"/>
      <c r="E162" s="68"/>
      <c r="F162" s="95"/>
      <c r="G162" s="21"/>
    </row>
    <row r="163" spans="2:7" s="32" customFormat="1" ht="15" customHeight="1" x14ac:dyDescent="0.25">
      <c r="B163" s="39"/>
      <c r="D163" s="59"/>
      <c r="E163" s="68"/>
      <c r="F163" s="95"/>
      <c r="G163" s="21"/>
    </row>
    <row r="164" spans="2:7" s="32" customFormat="1" ht="15" customHeight="1" x14ac:dyDescent="0.25">
      <c r="B164" s="39"/>
      <c r="D164" s="59"/>
      <c r="E164" s="68"/>
      <c r="F164" s="95"/>
      <c r="G164" s="21"/>
    </row>
    <row r="165" spans="2:7" s="32" customFormat="1" ht="15" customHeight="1" x14ac:dyDescent="0.25">
      <c r="B165" s="39"/>
      <c r="D165" s="59"/>
      <c r="E165" s="68"/>
      <c r="F165" s="95"/>
      <c r="G165" s="21"/>
    </row>
    <row r="166" spans="2:7" s="32" customFormat="1" ht="15" customHeight="1" x14ac:dyDescent="0.25">
      <c r="B166" s="39"/>
      <c r="D166" s="59"/>
      <c r="E166" s="68"/>
      <c r="F166" s="95"/>
      <c r="G166" s="21"/>
    </row>
    <row r="167" spans="2:7" s="32" customFormat="1" ht="15" customHeight="1" x14ac:dyDescent="0.25">
      <c r="B167" s="39"/>
      <c r="D167" s="59"/>
      <c r="E167" s="68"/>
      <c r="F167" s="95"/>
      <c r="G167" s="21"/>
    </row>
    <row r="168" spans="2:7" s="32" customFormat="1" ht="15" customHeight="1" x14ac:dyDescent="0.25">
      <c r="B168" s="39"/>
      <c r="D168" s="59"/>
      <c r="E168" s="68"/>
      <c r="F168" s="95"/>
      <c r="G168" s="21"/>
    </row>
    <row r="169" spans="2:7" s="32" customFormat="1" ht="15" customHeight="1" x14ac:dyDescent="0.25">
      <c r="B169" s="39"/>
      <c r="D169" s="59"/>
      <c r="E169" s="68"/>
      <c r="F169" s="95"/>
      <c r="G169" s="21"/>
    </row>
    <row r="170" spans="2:7" s="32" customFormat="1" ht="15" customHeight="1" x14ac:dyDescent="0.25">
      <c r="B170" s="39"/>
      <c r="D170" s="59"/>
      <c r="E170" s="68"/>
      <c r="F170" s="95"/>
      <c r="G170" s="21"/>
    </row>
    <row r="171" spans="2:7" s="32" customFormat="1" ht="15" customHeight="1" x14ac:dyDescent="0.25">
      <c r="B171" s="39"/>
      <c r="D171" s="59"/>
      <c r="E171" s="68"/>
      <c r="F171" s="95"/>
      <c r="G171" s="21"/>
    </row>
    <row r="172" spans="2:7" s="32" customFormat="1" ht="15" customHeight="1" x14ac:dyDescent="0.25">
      <c r="B172" s="39"/>
      <c r="D172" s="59"/>
      <c r="E172" s="68"/>
      <c r="F172" s="95"/>
      <c r="G172" s="21"/>
    </row>
    <row r="173" spans="2:7" s="32" customFormat="1" ht="15" customHeight="1" x14ac:dyDescent="0.25">
      <c r="B173" s="39"/>
      <c r="D173" s="59"/>
      <c r="E173" s="68"/>
      <c r="F173" s="95"/>
      <c r="G173" s="21"/>
    </row>
    <row r="174" spans="2:7" s="32" customFormat="1" ht="15" customHeight="1" x14ac:dyDescent="0.25">
      <c r="B174" s="39"/>
      <c r="D174" s="59"/>
      <c r="E174" s="68"/>
      <c r="F174" s="95"/>
      <c r="G174" s="21"/>
    </row>
    <row r="175" spans="2:7" s="32" customFormat="1" ht="15" customHeight="1" x14ac:dyDescent="0.25">
      <c r="B175" s="39"/>
      <c r="D175" s="59"/>
      <c r="E175" s="68"/>
      <c r="F175" s="95"/>
      <c r="G175" s="21"/>
    </row>
    <row r="176" spans="2:7" s="32" customFormat="1" ht="15" customHeight="1" x14ac:dyDescent="0.25">
      <c r="B176" s="39"/>
      <c r="D176" s="59"/>
      <c r="E176" s="68"/>
      <c r="F176" s="95"/>
      <c r="G176" s="21"/>
    </row>
    <row r="177" spans="2:7" s="32" customFormat="1" ht="15" customHeight="1" x14ac:dyDescent="0.25">
      <c r="B177" s="39"/>
      <c r="D177" s="59"/>
      <c r="E177" s="68"/>
      <c r="F177" s="95"/>
      <c r="G177" s="21"/>
    </row>
    <row r="178" spans="2:7" s="32" customFormat="1" ht="15" customHeight="1" x14ac:dyDescent="0.25">
      <c r="B178" s="39"/>
      <c r="D178" s="59"/>
      <c r="E178" s="68"/>
      <c r="F178" s="95"/>
      <c r="G178" s="21"/>
    </row>
    <row r="179" spans="2:7" s="32" customFormat="1" ht="15" customHeight="1" x14ac:dyDescent="0.25">
      <c r="B179" s="39"/>
      <c r="D179" s="59"/>
      <c r="E179" s="68"/>
      <c r="F179" s="95"/>
      <c r="G179" s="21"/>
    </row>
    <row r="180" spans="2:7" s="32" customFormat="1" ht="15" customHeight="1" x14ac:dyDescent="0.25">
      <c r="B180" s="39"/>
      <c r="D180" s="59"/>
      <c r="E180" s="68"/>
      <c r="F180" s="95"/>
      <c r="G180" s="21"/>
    </row>
    <row r="181" spans="2:7" s="32" customFormat="1" ht="15" customHeight="1" x14ac:dyDescent="0.25">
      <c r="B181" s="39"/>
      <c r="D181" s="59"/>
      <c r="E181" s="68"/>
      <c r="F181" s="95"/>
      <c r="G181" s="21"/>
    </row>
    <row r="182" spans="2:7" s="32" customFormat="1" ht="15" customHeight="1" x14ac:dyDescent="0.25">
      <c r="B182" s="39"/>
      <c r="D182" s="59"/>
      <c r="E182" s="68"/>
      <c r="F182" s="95"/>
      <c r="G182" s="21"/>
    </row>
    <row r="183" spans="2:7" s="32" customFormat="1" ht="15" customHeight="1" x14ac:dyDescent="0.25">
      <c r="B183" s="39"/>
      <c r="D183" s="59"/>
      <c r="E183" s="68"/>
      <c r="F183" s="95"/>
      <c r="G183" s="21"/>
    </row>
    <row r="184" spans="2:7" s="32" customFormat="1" ht="15" customHeight="1" x14ac:dyDescent="0.25">
      <c r="B184" s="39"/>
      <c r="D184" s="59"/>
      <c r="E184" s="68"/>
      <c r="F184" s="95"/>
      <c r="G184" s="21"/>
    </row>
    <row r="185" spans="2:7" s="32" customFormat="1" ht="15" customHeight="1" x14ac:dyDescent="0.25">
      <c r="B185" s="39"/>
      <c r="D185" s="59"/>
      <c r="E185" s="68"/>
      <c r="F185" s="95"/>
      <c r="G185" s="21"/>
    </row>
    <row r="186" spans="2:7" s="32" customFormat="1" ht="15" customHeight="1" x14ac:dyDescent="0.25">
      <c r="B186" s="39"/>
      <c r="D186" s="59"/>
      <c r="E186" s="68"/>
      <c r="F186" s="95"/>
      <c r="G186" s="21"/>
    </row>
    <row r="187" spans="2:7" s="32" customFormat="1" ht="15" customHeight="1" x14ac:dyDescent="0.25">
      <c r="B187" s="39"/>
      <c r="D187" s="59"/>
      <c r="E187" s="68"/>
      <c r="F187" s="95"/>
      <c r="G187" s="21"/>
    </row>
    <row r="188" spans="2:7" s="32" customFormat="1" ht="15" customHeight="1" x14ac:dyDescent="0.25">
      <c r="B188" s="39"/>
      <c r="D188" s="59"/>
      <c r="E188" s="68"/>
      <c r="F188" s="95"/>
      <c r="G188" s="21"/>
    </row>
    <row r="189" spans="2:7" s="32" customFormat="1" ht="15" customHeight="1" x14ac:dyDescent="0.25">
      <c r="B189" s="39"/>
      <c r="D189" s="59"/>
      <c r="E189" s="68"/>
      <c r="F189" s="95"/>
      <c r="G189" s="21"/>
    </row>
    <row r="190" spans="2:7" s="32" customFormat="1" ht="15" customHeight="1" x14ac:dyDescent="0.25">
      <c r="B190" s="39"/>
      <c r="D190" s="59"/>
      <c r="E190" s="68"/>
      <c r="F190" s="95"/>
      <c r="G190" s="21"/>
    </row>
    <row r="191" spans="2:7" s="32" customFormat="1" ht="15" customHeight="1" x14ac:dyDescent="0.25">
      <c r="B191" s="39"/>
      <c r="D191" s="59"/>
      <c r="E191" s="68"/>
      <c r="F191" s="95"/>
      <c r="G191" s="21"/>
    </row>
    <row r="192" spans="2:7" s="32" customFormat="1" ht="15" customHeight="1" x14ac:dyDescent="0.25">
      <c r="B192" s="39"/>
      <c r="D192" s="59"/>
      <c r="E192" s="68"/>
      <c r="F192" s="95"/>
      <c r="G192" s="21"/>
    </row>
    <row r="193" spans="2:7" s="32" customFormat="1" ht="15" customHeight="1" x14ac:dyDescent="0.25">
      <c r="B193" s="39"/>
      <c r="D193" s="59"/>
      <c r="E193" s="68"/>
      <c r="F193" s="95"/>
      <c r="G193" s="21"/>
    </row>
    <row r="194" spans="2:7" s="32" customFormat="1" ht="15" customHeight="1" x14ac:dyDescent="0.25">
      <c r="B194" s="39"/>
      <c r="D194" s="59"/>
      <c r="E194" s="68"/>
      <c r="F194" s="95"/>
      <c r="G194" s="21"/>
    </row>
    <row r="195" spans="2:7" s="32" customFormat="1" ht="15" customHeight="1" x14ac:dyDescent="0.25">
      <c r="B195" s="39"/>
      <c r="D195" s="59"/>
      <c r="E195" s="68"/>
      <c r="F195" s="95"/>
      <c r="G195" s="21"/>
    </row>
    <row r="196" spans="2:7" s="32" customFormat="1" ht="15" customHeight="1" x14ac:dyDescent="0.25">
      <c r="B196" s="39"/>
      <c r="D196" s="59"/>
      <c r="E196" s="68"/>
      <c r="F196" s="95"/>
      <c r="G196" s="21"/>
    </row>
    <row r="197" spans="2:7" s="32" customFormat="1" ht="15" customHeight="1" x14ac:dyDescent="0.25">
      <c r="B197" s="39"/>
      <c r="D197" s="59"/>
      <c r="E197" s="68"/>
      <c r="F197" s="95"/>
      <c r="G197" s="21"/>
    </row>
    <row r="198" spans="2:7" s="32" customFormat="1" ht="15" customHeight="1" x14ac:dyDescent="0.25">
      <c r="B198" s="39"/>
      <c r="D198" s="59"/>
      <c r="E198" s="68"/>
      <c r="F198" s="95"/>
      <c r="G198" s="21"/>
    </row>
    <row r="199" spans="2:7" s="32" customFormat="1" ht="15" customHeight="1" x14ac:dyDescent="0.25">
      <c r="B199" s="39"/>
      <c r="D199" s="59"/>
      <c r="E199" s="68"/>
      <c r="F199" s="95"/>
      <c r="G199" s="21"/>
    </row>
    <row r="200" spans="2:7" s="32" customFormat="1" ht="15" customHeight="1" x14ac:dyDescent="0.25">
      <c r="B200" s="39"/>
      <c r="D200" s="59"/>
      <c r="E200" s="68"/>
      <c r="F200" s="95"/>
      <c r="G200" s="21"/>
    </row>
    <row r="201" spans="2:7" s="32" customFormat="1" ht="15" customHeight="1" x14ac:dyDescent="0.25">
      <c r="B201" s="39"/>
      <c r="D201" s="59"/>
      <c r="E201" s="68"/>
      <c r="F201" s="95"/>
      <c r="G201" s="21"/>
    </row>
    <row r="202" spans="2:7" s="32" customFormat="1" ht="15" customHeight="1" x14ac:dyDescent="0.25">
      <c r="B202" s="39"/>
      <c r="D202" s="59"/>
      <c r="E202" s="68"/>
      <c r="F202" s="95"/>
      <c r="G202" s="21"/>
    </row>
    <row r="203" spans="2:7" s="32" customFormat="1" ht="15" customHeight="1" x14ac:dyDescent="0.25">
      <c r="B203" s="39"/>
      <c r="D203" s="59"/>
      <c r="E203" s="68"/>
      <c r="F203" s="95"/>
      <c r="G203" s="21"/>
    </row>
    <row r="204" spans="2:7" s="32" customFormat="1" ht="15" customHeight="1" x14ac:dyDescent="0.25">
      <c r="B204" s="39"/>
      <c r="D204" s="59"/>
      <c r="E204" s="68"/>
      <c r="F204" s="95"/>
      <c r="G204" s="21"/>
    </row>
    <row r="205" spans="2:7" s="32" customFormat="1" ht="15" customHeight="1" x14ac:dyDescent="0.25">
      <c r="B205" s="39"/>
      <c r="D205" s="59"/>
      <c r="E205" s="68"/>
      <c r="F205" s="95"/>
      <c r="G205" s="21"/>
    </row>
    <row r="206" spans="2:7" s="32" customFormat="1" ht="15" customHeight="1" x14ac:dyDescent="0.25">
      <c r="B206" s="39"/>
      <c r="D206" s="59"/>
      <c r="E206" s="68"/>
      <c r="F206" s="95"/>
      <c r="G206" s="21"/>
    </row>
    <row r="207" spans="2:7" s="32" customFormat="1" ht="15" customHeight="1" x14ac:dyDescent="0.25">
      <c r="B207" s="39"/>
      <c r="D207" s="59"/>
      <c r="E207" s="68"/>
      <c r="F207" s="95"/>
      <c r="G207" s="21"/>
    </row>
    <row r="208" spans="2:7" s="32" customFormat="1" ht="15" customHeight="1" x14ac:dyDescent="0.25">
      <c r="B208" s="39"/>
      <c r="D208" s="59"/>
      <c r="E208" s="68"/>
      <c r="F208" s="95"/>
      <c r="G208" s="21"/>
    </row>
    <row r="209" spans="2:7" s="32" customFormat="1" ht="15" customHeight="1" x14ac:dyDescent="0.25">
      <c r="B209" s="39"/>
      <c r="D209" s="59"/>
      <c r="E209" s="68"/>
      <c r="F209" s="95"/>
      <c r="G209" s="21"/>
    </row>
    <row r="210" spans="2:7" s="32" customFormat="1" ht="15" customHeight="1" x14ac:dyDescent="0.25">
      <c r="B210" s="39"/>
      <c r="D210" s="59"/>
      <c r="E210" s="68"/>
      <c r="F210" s="95"/>
      <c r="G210" s="21"/>
    </row>
    <row r="211" spans="2:7" s="32" customFormat="1" ht="15" customHeight="1" x14ac:dyDescent="0.25">
      <c r="B211" s="39"/>
      <c r="D211" s="59"/>
      <c r="E211" s="68"/>
      <c r="F211" s="95"/>
      <c r="G211" s="21"/>
    </row>
    <row r="212" spans="2:7" s="32" customFormat="1" ht="15" customHeight="1" x14ac:dyDescent="0.25">
      <c r="B212" s="39"/>
      <c r="D212" s="59"/>
      <c r="E212" s="68"/>
      <c r="F212" s="95"/>
      <c r="G212" s="21"/>
    </row>
    <row r="213" spans="2:7" s="32" customFormat="1" ht="15" customHeight="1" x14ac:dyDescent="0.25">
      <c r="B213" s="39"/>
      <c r="D213" s="59"/>
      <c r="E213" s="68"/>
      <c r="F213" s="95"/>
      <c r="G213" s="21"/>
    </row>
    <row r="214" spans="2:7" s="32" customFormat="1" ht="15" customHeight="1" x14ac:dyDescent="0.25">
      <c r="B214" s="39"/>
      <c r="D214" s="59"/>
      <c r="E214" s="68"/>
      <c r="F214" s="95"/>
      <c r="G214" s="21"/>
    </row>
    <row r="215" spans="2:7" s="32" customFormat="1" ht="15" customHeight="1" x14ac:dyDescent="0.25">
      <c r="B215" s="39"/>
      <c r="D215" s="59"/>
      <c r="E215" s="68"/>
      <c r="F215" s="95"/>
      <c r="G215" s="21"/>
    </row>
    <row r="216" spans="2:7" s="32" customFormat="1" ht="15" customHeight="1" x14ac:dyDescent="0.25">
      <c r="B216" s="39"/>
      <c r="D216" s="59"/>
      <c r="E216" s="68"/>
      <c r="F216" s="95"/>
      <c r="G216" s="21"/>
    </row>
    <row r="217" spans="2:7" s="32" customFormat="1" ht="15" customHeight="1" x14ac:dyDescent="0.25">
      <c r="B217" s="39"/>
      <c r="D217" s="59"/>
      <c r="E217" s="68"/>
      <c r="F217" s="95"/>
      <c r="G217" s="21"/>
    </row>
    <row r="218" spans="2:7" s="32" customFormat="1" ht="15" customHeight="1" x14ac:dyDescent="0.25">
      <c r="B218" s="39"/>
      <c r="D218" s="59"/>
      <c r="E218" s="68"/>
      <c r="F218" s="95"/>
      <c r="G218" s="21"/>
    </row>
    <row r="219" spans="2:7" s="32" customFormat="1" ht="15" customHeight="1" x14ac:dyDescent="0.25">
      <c r="B219" s="39"/>
      <c r="D219" s="59"/>
      <c r="E219" s="68"/>
      <c r="F219" s="95"/>
      <c r="G219" s="21"/>
    </row>
    <row r="220" spans="2:7" s="32" customFormat="1" ht="15" customHeight="1" x14ac:dyDescent="0.25">
      <c r="B220" s="39"/>
      <c r="D220" s="59"/>
      <c r="E220" s="68"/>
      <c r="F220" s="95"/>
      <c r="G220" s="21"/>
    </row>
    <row r="221" spans="2:7" s="32" customFormat="1" ht="15" customHeight="1" x14ac:dyDescent="0.25">
      <c r="B221" s="39"/>
      <c r="D221" s="59"/>
      <c r="E221" s="68"/>
      <c r="F221" s="95"/>
      <c r="G221" s="21"/>
    </row>
    <row r="222" spans="2:7" s="32" customFormat="1" ht="15" customHeight="1" x14ac:dyDescent="0.25">
      <c r="B222" s="39"/>
      <c r="D222" s="59"/>
      <c r="E222" s="68"/>
      <c r="F222" s="95"/>
      <c r="G222" s="21"/>
    </row>
    <row r="223" spans="2:7" s="32" customFormat="1" ht="15" customHeight="1" x14ac:dyDescent="0.25">
      <c r="B223" s="39"/>
      <c r="D223" s="59"/>
      <c r="E223" s="68"/>
      <c r="F223" s="95"/>
      <c r="G223" s="21"/>
    </row>
    <row r="224" spans="2:7" s="32" customFormat="1" ht="15" customHeight="1" x14ac:dyDescent="0.25">
      <c r="B224" s="39"/>
      <c r="D224" s="59"/>
      <c r="E224" s="68"/>
      <c r="F224" s="95"/>
      <c r="G224" s="21"/>
    </row>
    <row r="225" spans="2:7" s="32" customFormat="1" ht="15" customHeight="1" x14ac:dyDescent="0.25">
      <c r="B225" s="39"/>
      <c r="D225" s="59"/>
      <c r="E225" s="68"/>
      <c r="F225" s="95"/>
      <c r="G225" s="21"/>
    </row>
    <row r="226" spans="2:7" s="32" customFormat="1" ht="15" customHeight="1" x14ac:dyDescent="0.25">
      <c r="B226" s="39"/>
      <c r="D226" s="59"/>
      <c r="E226" s="68"/>
      <c r="F226" s="95"/>
      <c r="G226" s="21"/>
    </row>
    <row r="227" spans="2:7" s="32" customFormat="1" ht="15" customHeight="1" x14ac:dyDescent="0.25">
      <c r="B227" s="39"/>
      <c r="D227" s="59"/>
      <c r="E227" s="68"/>
      <c r="F227" s="95"/>
      <c r="G227" s="21"/>
    </row>
    <row r="228" spans="2:7" s="32" customFormat="1" ht="15" customHeight="1" x14ac:dyDescent="0.25">
      <c r="B228" s="39"/>
      <c r="D228" s="59"/>
      <c r="E228" s="68"/>
      <c r="F228" s="95"/>
      <c r="G228" s="21"/>
    </row>
    <row r="229" spans="2:7" s="32" customFormat="1" ht="15" customHeight="1" x14ac:dyDescent="0.25">
      <c r="B229" s="39"/>
      <c r="D229" s="59"/>
      <c r="E229" s="68"/>
      <c r="F229" s="95"/>
      <c r="G229" s="21"/>
    </row>
    <row r="230" spans="2:7" s="32" customFormat="1" ht="15" customHeight="1" x14ac:dyDescent="0.25">
      <c r="B230" s="39"/>
      <c r="D230" s="59"/>
      <c r="E230" s="68"/>
      <c r="F230" s="95"/>
      <c r="G230" s="21"/>
    </row>
    <row r="231" spans="2:7" s="32" customFormat="1" ht="15" customHeight="1" x14ac:dyDescent="0.25">
      <c r="B231" s="39"/>
      <c r="D231" s="59"/>
      <c r="E231" s="68"/>
      <c r="F231" s="95"/>
      <c r="G231" s="21"/>
    </row>
    <row r="232" spans="2:7" s="32" customFormat="1" ht="15" customHeight="1" x14ac:dyDescent="0.25">
      <c r="B232" s="39"/>
      <c r="D232" s="59"/>
      <c r="E232" s="68"/>
      <c r="F232" s="95"/>
      <c r="G232" s="21"/>
    </row>
    <row r="233" spans="2:7" s="32" customFormat="1" ht="15" customHeight="1" x14ac:dyDescent="0.25">
      <c r="B233" s="39"/>
      <c r="D233" s="59"/>
      <c r="E233" s="68"/>
      <c r="F233" s="95"/>
      <c r="G233" s="21"/>
    </row>
    <row r="234" spans="2:7" s="32" customFormat="1" ht="15" customHeight="1" x14ac:dyDescent="0.25">
      <c r="B234" s="39"/>
      <c r="D234" s="59"/>
      <c r="E234" s="68"/>
      <c r="F234" s="95"/>
      <c r="G234" s="21"/>
    </row>
    <row r="235" spans="2:7" s="32" customFormat="1" ht="15" customHeight="1" x14ac:dyDescent="0.25">
      <c r="B235" s="39"/>
      <c r="D235" s="59"/>
      <c r="E235" s="68"/>
      <c r="F235" s="95"/>
      <c r="G235" s="21"/>
    </row>
    <row r="236" spans="2:7" s="32" customFormat="1" ht="15" customHeight="1" x14ac:dyDescent="0.25">
      <c r="B236" s="39"/>
      <c r="D236" s="59"/>
      <c r="E236" s="68"/>
      <c r="F236" s="95"/>
      <c r="G236" s="21"/>
    </row>
    <row r="237" spans="2:7" s="32" customFormat="1" ht="15" customHeight="1" x14ac:dyDescent="0.25">
      <c r="B237" s="39"/>
      <c r="D237" s="59"/>
      <c r="E237" s="68"/>
      <c r="F237" s="95"/>
      <c r="G237" s="21"/>
    </row>
    <row r="238" spans="2:7" s="32" customFormat="1" ht="15" customHeight="1" x14ac:dyDescent="0.25">
      <c r="B238" s="39"/>
      <c r="D238" s="59"/>
      <c r="E238" s="68"/>
      <c r="F238" s="95"/>
      <c r="G238" s="21"/>
    </row>
    <row r="239" spans="2:7" s="32" customFormat="1" ht="15" customHeight="1" x14ac:dyDescent="0.25">
      <c r="B239" s="39"/>
      <c r="D239" s="59"/>
      <c r="E239" s="68"/>
      <c r="F239" s="95"/>
      <c r="G239" s="21"/>
    </row>
    <row r="240" spans="2:7" s="32" customFormat="1" ht="15" customHeight="1" x14ac:dyDescent="0.25">
      <c r="B240" s="39"/>
      <c r="D240" s="59"/>
      <c r="E240" s="68"/>
      <c r="F240" s="95"/>
      <c r="G240" s="21"/>
    </row>
    <row r="241" spans="2:7" s="32" customFormat="1" ht="15" customHeight="1" x14ac:dyDescent="0.25">
      <c r="B241" s="39"/>
      <c r="D241" s="59"/>
      <c r="E241" s="68"/>
      <c r="F241" s="95"/>
      <c r="G241" s="21"/>
    </row>
    <row r="242" spans="2:7" s="32" customFormat="1" ht="15" customHeight="1" x14ac:dyDescent="0.25">
      <c r="B242" s="39"/>
      <c r="D242" s="59"/>
      <c r="E242" s="68"/>
      <c r="F242" s="95"/>
      <c r="G242" s="21"/>
    </row>
    <row r="243" spans="2:7" s="32" customFormat="1" ht="15" customHeight="1" x14ac:dyDescent="0.25">
      <c r="B243" s="39"/>
      <c r="D243" s="59"/>
      <c r="E243" s="68"/>
      <c r="F243" s="95"/>
      <c r="G243" s="21"/>
    </row>
    <row r="244" spans="2:7" s="32" customFormat="1" ht="15" customHeight="1" x14ac:dyDescent="0.25">
      <c r="B244" s="39"/>
      <c r="D244" s="59"/>
      <c r="E244" s="68"/>
      <c r="F244" s="95"/>
      <c r="G244" s="21"/>
    </row>
    <row r="245" spans="2:7" s="32" customFormat="1" ht="15" customHeight="1" x14ac:dyDescent="0.25">
      <c r="B245" s="39"/>
      <c r="D245" s="59"/>
      <c r="E245" s="68"/>
      <c r="F245" s="95"/>
      <c r="G245" s="21"/>
    </row>
    <row r="246" spans="2:7" s="32" customFormat="1" ht="15" customHeight="1" x14ac:dyDescent="0.25">
      <c r="B246" s="39"/>
      <c r="D246" s="59"/>
      <c r="E246" s="68"/>
      <c r="F246" s="95"/>
      <c r="G246" s="21"/>
    </row>
    <row r="247" spans="2:7" s="32" customFormat="1" ht="15" customHeight="1" x14ac:dyDescent="0.25">
      <c r="B247" s="39"/>
      <c r="D247" s="59"/>
      <c r="E247" s="68"/>
      <c r="F247" s="95"/>
      <c r="G247" s="21"/>
    </row>
    <row r="248" spans="2:7" s="32" customFormat="1" ht="15" customHeight="1" x14ac:dyDescent="0.25">
      <c r="B248" s="39"/>
      <c r="D248" s="59"/>
      <c r="E248" s="68"/>
      <c r="F248" s="95"/>
      <c r="G248" s="21"/>
    </row>
    <row r="249" spans="2:7" s="32" customFormat="1" ht="15" customHeight="1" x14ac:dyDescent="0.25">
      <c r="B249" s="39"/>
      <c r="D249" s="59"/>
      <c r="E249" s="68"/>
      <c r="F249" s="95"/>
      <c r="G249" s="21"/>
    </row>
    <row r="250" spans="2:7" s="32" customFormat="1" ht="15" customHeight="1" x14ac:dyDescent="0.25">
      <c r="B250" s="39"/>
      <c r="D250" s="59"/>
      <c r="E250" s="68"/>
      <c r="F250" s="95"/>
      <c r="G250" s="21"/>
    </row>
    <row r="251" spans="2:7" s="32" customFormat="1" x14ac:dyDescent="0.25">
      <c r="B251" s="39"/>
      <c r="D251" s="59"/>
      <c r="E251" s="68"/>
      <c r="F251" s="95"/>
      <c r="G251" s="21"/>
    </row>
    <row r="252" spans="2:7" s="32" customFormat="1" x14ac:dyDescent="0.25">
      <c r="B252" s="39"/>
      <c r="D252" s="59"/>
      <c r="E252" s="68"/>
      <c r="F252" s="95"/>
      <c r="G252" s="21"/>
    </row>
    <row r="253" spans="2:7" s="32" customFormat="1" x14ac:dyDescent="0.25">
      <c r="B253" s="39"/>
      <c r="D253" s="59"/>
      <c r="E253" s="68"/>
      <c r="F253" s="95"/>
      <c r="G253" s="21"/>
    </row>
    <row r="254" spans="2:7" s="32" customFormat="1" x14ac:dyDescent="0.25">
      <c r="B254" s="39"/>
      <c r="D254" s="59"/>
      <c r="E254" s="68"/>
      <c r="F254" s="95"/>
      <c r="G254" s="21"/>
    </row>
    <row r="255" spans="2:7" s="32" customFormat="1" x14ac:dyDescent="0.25">
      <c r="B255" s="39"/>
      <c r="D255" s="59"/>
      <c r="E255" s="68"/>
      <c r="F255" s="95"/>
      <c r="G255" s="21"/>
    </row>
    <row r="256" spans="2:7" s="32" customFormat="1" x14ac:dyDescent="0.25">
      <c r="B256" s="39"/>
      <c r="D256" s="59"/>
      <c r="E256" s="68"/>
      <c r="F256" s="95"/>
      <c r="G256" s="21"/>
    </row>
    <row r="257" spans="2:7" s="32" customFormat="1" x14ac:dyDescent="0.25">
      <c r="B257" s="39"/>
      <c r="D257" s="59"/>
      <c r="E257" s="68"/>
      <c r="F257" s="95"/>
      <c r="G257" s="21"/>
    </row>
    <row r="258" spans="2:7" s="32" customFormat="1" x14ac:dyDescent="0.25">
      <c r="B258" s="39"/>
      <c r="D258" s="59"/>
      <c r="E258" s="68"/>
      <c r="F258" s="95"/>
      <c r="G258" s="21"/>
    </row>
    <row r="259" spans="2:7" s="32" customFormat="1" x14ac:dyDescent="0.25">
      <c r="B259" s="39"/>
      <c r="D259" s="59"/>
      <c r="E259" s="68"/>
      <c r="F259" s="95"/>
      <c r="G259" s="21"/>
    </row>
    <row r="260" spans="2:7" s="32" customFormat="1" x14ac:dyDescent="0.25">
      <c r="B260" s="39"/>
      <c r="D260" s="59"/>
      <c r="E260" s="68"/>
      <c r="F260" s="95"/>
      <c r="G260" s="21"/>
    </row>
    <row r="261" spans="2:7" s="32" customFormat="1" x14ac:dyDescent="0.25">
      <c r="B261" s="39"/>
      <c r="D261" s="59"/>
      <c r="E261" s="68"/>
      <c r="F261" s="95"/>
      <c r="G261" s="21"/>
    </row>
    <row r="262" spans="2:7" s="32" customFormat="1" x14ac:dyDescent="0.25">
      <c r="B262" s="39"/>
      <c r="D262" s="59"/>
      <c r="E262" s="68"/>
      <c r="F262" s="95"/>
      <c r="G262" s="21"/>
    </row>
    <row r="263" spans="2:7" s="32" customFormat="1" x14ac:dyDescent="0.25">
      <c r="B263" s="39"/>
      <c r="D263" s="59"/>
      <c r="E263" s="68"/>
      <c r="F263" s="95"/>
      <c r="G263" s="21"/>
    </row>
    <row r="264" spans="2:7" s="32" customFormat="1" x14ac:dyDescent="0.25">
      <c r="B264" s="39"/>
      <c r="D264" s="59"/>
      <c r="E264" s="68"/>
      <c r="F264" s="95"/>
      <c r="G264" s="21"/>
    </row>
    <row r="265" spans="2:7" s="32" customFormat="1" x14ac:dyDescent="0.25">
      <c r="B265" s="39"/>
      <c r="D265" s="59"/>
      <c r="E265" s="68"/>
      <c r="F265" s="95"/>
      <c r="G265" s="21"/>
    </row>
    <row r="266" spans="2:7" s="32" customFormat="1" x14ac:dyDescent="0.25">
      <c r="B266" s="39"/>
      <c r="D266" s="59"/>
      <c r="E266" s="68"/>
      <c r="F266" s="95"/>
      <c r="G266" s="21"/>
    </row>
    <row r="267" spans="2:7" s="32" customFormat="1" x14ac:dyDescent="0.25">
      <c r="B267" s="39"/>
      <c r="D267" s="59"/>
      <c r="E267" s="68"/>
      <c r="F267" s="95"/>
      <c r="G267" s="21"/>
    </row>
    <row r="268" spans="2:7" s="32" customFormat="1" x14ac:dyDescent="0.25">
      <c r="B268" s="39"/>
      <c r="D268" s="59"/>
      <c r="E268" s="68"/>
      <c r="F268" s="95"/>
      <c r="G268" s="21"/>
    </row>
    <row r="269" spans="2:7" s="32" customFormat="1" x14ac:dyDescent="0.25">
      <c r="B269" s="39"/>
      <c r="D269" s="59"/>
      <c r="E269" s="68"/>
      <c r="F269" s="95"/>
      <c r="G269" s="21"/>
    </row>
    <row r="270" spans="2:7" s="32" customFormat="1" x14ac:dyDescent="0.25">
      <c r="B270" s="39"/>
      <c r="D270" s="59"/>
      <c r="E270" s="68"/>
      <c r="F270" s="95"/>
      <c r="G270" s="21"/>
    </row>
    <row r="271" spans="2:7" s="32" customFormat="1" x14ac:dyDescent="0.25">
      <c r="B271" s="39"/>
      <c r="D271" s="59"/>
      <c r="E271" s="68"/>
      <c r="F271" s="95"/>
      <c r="G271" s="21"/>
    </row>
    <row r="272" spans="2:7" s="32" customFormat="1" x14ac:dyDescent="0.25">
      <c r="B272" s="39"/>
      <c r="D272" s="59"/>
      <c r="E272" s="68"/>
      <c r="F272" s="95"/>
      <c r="G272" s="21"/>
    </row>
    <row r="273" spans="2:7" s="32" customFormat="1" x14ac:dyDescent="0.25">
      <c r="B273" s="39"/>
      <c r="D273" s="59"/>
      <c r="E273" s="68"/>
      <c r="F273" s="95"/>
      <c r="G273" s="21"/>
    </row>
    <row r="274" spans="2:7" s="32" customFormat="1" x14ac:dyDescent="0.25">
      <c r="B274" s="39"/>
      <c r="D274" s="59"/>
      <c r="E274" s="68"/>
      <c r="F274" s="95"/>
      <c r="G274" s="21"/>
    </row>
    <row r="275" spans="2:7" s="32" customFormat="1" x14ac:dyDescent="0.25">
      <c r="B275" s="39"/>
      <c r="D275" s="59"/>
      <c r="E275" s="68"/>
      <c r="F275" s="95"/>
      <c r="G275" s="21"/>
    </row>
    <row r="276" spans="2:7" s="32" customFormat="1" x14ac:dyDescent="0.25">
      <c r="B276" s="39"/>
      <c r="D276" s="59"/>
      <c r="E276" s="68"/>
      <c r="F276" s="95"/>
      <c r="G276" s="21"/>
    </row>
    <row r="277" spans="2:7" s="32" customFormat="1" x14ac:dyDescent="0.25">
      <c r="B277" s="39"/>
      <c r="D277" s="59"/>
      <c r="E277" s="68"/>
      <c r="F277" s="95"/>
      <c r="G277" s="21"/>
    </row>
    <row r="278" spans="2:7" s="32" customFormat="1" x14ac:dyDescent="0.25">
      <c r="B278" s="39"/>
      <c r="D278" s="59"/>
      <c r="E278" s="68"/>
      <c r="F278" s="95"/>
      <c r="G278" s="21"/>
    </row>
    <row r="279" spans="2:7" s="32" customFormat="1" x14ac:dyDescent="0.25">
      <c r="B279" s="39"/>
      <c r="D279" s="59"/>
      <c r="E279" s="68"/>
      <c r="F279" s="95"/>
      <c r="G279" s="21"/>
    </row>
    <row r="280" spans="2:7" s="32" customFormat="1" x14ac:dyDescent="0.25">
      <c r="B280" s="39"/>
      <c r="D280" s="59"/>
      <c r="E280" s="68"/>
      <c r="F280" s="95"/>
      <c r="G280" s="21"/>
    </row>
    <row r="281" spans="2:7" s="32" customFormat="1" x14ac:dyDescent="0.25">
      <c r="B281" s="39"/>
      <c r="D281" s="59"/>
      <c r="E281" s="68"/>
      <c r="F281" s="95"/>
      <c r="G281" s="21"/>
    </row>
    <row r="282" spans="2:7" s="32" customFormat="1" x14ac:dyDescent="0.25">
      <c r="B282" s="39"/>
      <c r="D282" s="59"/>
      <c r="E282" s="68"/>
      <c r="F282" s="95"/>
      <c r="G282" s="21"/>
    </row>
    <row r="283" spans="2:7" s="32" customFormat="1" x14ac:dyDescent="0.25">
      <c r="B283" s="39"/>
      <c r="D283" s="59"/>
      <c r="E283" s="68"/>
      <c r="F283" s="95"/>
      <c r="G283" s="21"/>
    </row>
    <row r="284" spans="2:7" s="32" customFormat="1" x14ac:dyDescent="0.25">
      <c r="B284" s="39"/>
      <c r="D284" s="59"/>
      <c r="E284" s="68"/>
      <c r="F284" s="95"/>
      <c r="G284" s="21"/>
    </row>
    <row r="285" spans="2:7" s="32" customFormat="1" x14ac:dyDescent="0.25">
      <c r="B285" s="39"/>
      <c r="D285" s="59"/>
      <c r="E285" s="68"/>
      <c r="F285" s="95"/>
      <c r="G285" s="21"/>
    </row>
    <row r="286" spans="2:7" s="32" customFormat="1" x14ac:dyDescent="0.25">
      <c r="B286" s="39"/>
      <c r="D286" s="59"/>
      <c r="E286" s="68"/>
      <c r="F286" s="95"/>
      <c r="G286" s="21"/>
    </row>
    <row r="287" spans="2:7" s="32" customFormat="1" x14ac:dyDescent="0.25">
      <c r="B287" s="39"/>
      <c r="D287" s="59"/>
      <c r="E287" s="68"/>
      <c r="F287" s="95"/>
      <c r="G287" s="21"/>
    </row>
    <row r="288" spans="2:7" s="32" customFormat="1" x14ac:dyDescent="0.25">
      <c r="B288" s="39"/>
      <c r="D288" s="59"/>
      <c r="E288" s="68"/>
      <c r="F288" s="95"/>
      <c r="G288" s="21"/>
    </row>
    <row r="289" spans="2:7" s="32" customFormat="1" x14ac:dyDescent="0.25">
      <c r="B289" s="39"/>
      <c r="D289" s="59"/>
      <c r="E289" s="68"/>
      <c r="F289" s="95"/>
      <c r="G289" s="21"/>
    </row>
    <row r="290" spans="2:7" s="32" customFormat="1" x14ac:dyDescent="0.25">
      <c r="B290" s="39"/>
      <c r="D290" s="59"/>
      <c r="E290" s="68"/>
      <c r="F290" s="95"/>
      <c r="G290" s="21"/>
    </row>
    <row r="291" spans="2:7" s="32" customFormat="1" x14ac:dyDescent="0.25">
      <c r="B291" s="39"/>
      <c r="D291" s="59"/>
      <c r="E291" s="68"/>
      <c r="F291" s="95"/>
      <c r="G291" s="21"/>
    </row>
    <row r="292" spans="2:7" s="32" customFormat="1" x14ac:dyDescent="0.25">
      <c r="B292" s="39"/>
      <c r="D292" s="59"/>
      <c r="E292" s="68"/>
      <c r="F292" s="95"/>
      <c r="G292" s="21"/>
    </row>
    <row r="293" spans="2:7" s="32" customFormat="1" x14ac:dyDescent="0.25">
      <c r="B293" s="39"/>
      <c r="D293" s="59"/>
      <c r="E293" s="68"/>
      <c r="F293" s="95"/>
      <c r="G293" s="21"/>
    </row>
    <row r="294" spans="2:7" s="32" customFormat="1" x14ac:dyDescent="0.25">
      <c r="B294" s="39"/>
      <c r="D294" s="59"/>
      <c r="E294" s="68"/>
      <c r="F294" s="95"/>
      <c r="G294" s="21"/>
    </row>
    <row r="295" spans="2:7" s="32" customFormat="1" x14ac:dyDescent="0.25">
      <c r="B295" s="39"/>
      <c r="D295" s="59"/>
      <c r="E295" s="68"/>
      <c r="F295" s="95"/>
      <c r="G295" s="21"/>
    </row>
    <row r="296" spans="2:7" s="32" customFormat="1" x14ac:dyDescent="0.25">
      <c r="B296" s="39"/>
      <c r="D296" s="59"/>
      <c r="E296" s="68"/>
      <c r="F296" s="95"/>
      <c r="G296" s="21"/>
    </row>
    <row r="297" spans="2:7" s="32" customFormat="1" x14ac:dyDescent="0.25">
      <c r="B297" s="39"/>
      <c r="D297" s="59"/>
      <c r="E297" s="68"/>
      <c r="F297" s="95"/>
      <c r="G297" s="21"/>
    </row>
    <row r="298" spans="2:7" s="32" customFormat="1" x14ac:dyDescent="0.25">
      <c r="B298" s="39"/>
      <c r="D298" s="59"/>
      <c r="E298" s="68"/>
      <c r="F298" s="95"/>
      <c r="G298" s="21"/>
    </row>
    <row r="299" spans="2:7" s="32" customFormat="1" x14ac:dyDescent="0.25">
      <c r="B299" s="39"/>
      <c r="D299" s="59"/>
      <c r="E299" s="68"/>
      <c r="F299" s="95"/>
      <c r="G299" s="21"/>
    </row>
    <row r="300" spans="2:7" s="32" customFormat="1" x14ac:dyDescent="0.25">
      <c r="B300" s="39"/>
      <c r="D300" s="59"/>
      <c r="E300" s="68"/>
      <c r="F300" s="95"/>
      <c r="G300" s="21"/>
    </row>
    <row r="301" spans="2:7" s="32" customFormat="1" x14ac:dyDescent="0.25">
      <c r="B301" s="39"/>
      <c r="D301" s="59"/>
      <c r="E301" s="68"/>
      <c r="F301" s="95"/>
      <c r="G301" s="21"/>
    </row>
    <row r="302" spans="2:7" s="32" customFormat="1" x14ac:dyDescent="0.25">
      <c r="B302" s="39"/>
      <c r="D302" s="59"/>
      <c r="E302" s="68"/>
      <c r="F302" s="95"/>
      <c r="G302" s="21"/>
    </row>
    <row r="303" spans="2:7" s="32" customFormat="1" x14ac:dyDescent="0.25">
      <c r="B303" s="39"/>
      <c r="D303" s="59"/>
      <c r="E303" s="68"/>
      <c r="F303" s="95"/>
      <c r="G303" s="21"/>
    </row>
    <row r="304" spans="2:7" s="32" customFormat="1" x14ac:dyDescent="0.25">
      <c r="B304" s="39"/>
      <c r="D304" s="59"/>
      <c r="E304" s="68"/>
      <c r="F304" s="95"/>
      <c r="G304" s="21"/>
    </row>
    <row r="305" spans="2:7" s="32" customFormat="1" x14ac:dyDescent="0.25">
      <c r="B305" s="39"/>
      <c r="D305" s="59"/>
      <c r="E305" s="68"/>
      <c r="F305" s="95"/>
      <c r="G305" s="21"/>
    </row>
    <row r="306" spans="2:7" s="32" customFormat="1" x14ac:dyDescent="0.25">
      <c r="B306" s="39"/>
      <c r="D306" s="59"/>
      <c r="E306" s="68"/>
      <c r="F306" s="95"/>
      <c r="G306" s="21"/>
    </row>
    <row r="307" spans="2:7" s="32" customFormat="1" x14ac:dyDescent="0.25">
      <c r="B307" s="39"/>
      <c r="D307" s="59"/>
      <c r="E307" s="68"/>
      <c r="F307" s="95"/>
      <c r="G307" s="21"/>
    </row>
    <row r="308" spans="2:7" s="32" customFormat="1" x14ac:dyDescent="0.25">
      <c r="B308" s="39"/>
      <c r="D308" s="59"/>
      <c r="E308" s="68"/>
      <c r="F308" s="95"/>
      <c r="G308" s="21"/>
    </row>
    <row r="309" spans="2:7" s="32" customFormat="1" x14ac:dyDescent="0.25">
      <c r="B309" s="39"/>
      <c r="D309" s="59"/>
      <c r="E309" s="68"/>
      <c r="F309" s="95"/>
      <c r="G309" s="21"/>
    </row>
    <row r="310" spans="2:7" s="32" customFormat="1" x14ac:dyDescent="0.25">
      <c r="B310" s="39"/>
      <c r="D310" s="59"/>
      <c r="E310" s="68"/>
      <c r="F310" s="95"/>
      <c r="G310" s="21"/>
    </row>
    <row r="311" spans="2:7" s="32" customFormat="1" x14ac:dyDescent="0.25">
      <c r="B311" s="39"/>
      <c r="D311" s="59"/>
      <c r="E311" s="68"/>
      <c r="F311" s="95"/>
      <c r="G311" s="21"/>
    </row>
    <row r="312" spans="2:7" s="32" customFormat="1" x14ac:dyDescent="0.25">
      <c r="B312" s="39"/>
      <c r="D312" s="59"/>
      <c r="E312" s="68"/>
      <c r="F312" s="95"/>
      <c r="G312" s="21"/>
    </row>
    <row r="313" spans="2:7" s="32" customFormat="1" x14ac:dyDescent="0.25">
      <c r="B313" s="39"/>
      <c r="D313" s="59"/>
      <c r="E313" s="68"/>
      <c r="F313" s="95"/>
      <c r="G313" s="21"/>
    </row>
    <row r="314" spans="2:7" s="32" customFormat="1" x14ac:dyDescent="0.25">
      <c r="B314" s="39"/>
      <c r="D314" s="59"/>
      <c r="E314" s="68"/>
      <c r="F314" s="95"/>
      <c r="G314" s="21"/>
    </row>
    <row r="315" spans="2:7" s="32" customFormat="1" x14ac:dyDescent="0.25">
      <c r="B315" s="39"/>
      <c r="D315" s="59"/>
      <c r="E315" s="68"/>
      <c r="F315" s="95"/>
      <c r="G315" s="21"/>
    </row>
    <row r="316" spans="2:7" s="32" customFormat="1" x14ac:dyDescent="0.25">
      <c r="B316" s="39"/>
      <c r="D316" s="59"/>
      <c r="E316" s="68"/>
      <c r="F316" s="95"/>
      <c r="G316" s="21"/>
    </row>
    <row r="317" spans="2:7" s="32" customFormat="1" x14ac:dyDescent="0.25">
      <c r="B317" s="39"/>
      <c r="D317" s="59"/>
      <c r="E317" s="68"/>
      <c r="F317" s="95"/>
      <c r="G317" s="21"/>
    </row>
    <row r="318" spans="2:7" s="32" customFormat="1" x14ac:dyDescent="0.25">
      <c r="B318" s="39"/>
      <c r="D318" s="59"/>
      <c r="E318" s="68"/>
      <c r="F318" s="95"/>
      <c r="G318" s="21"/>
    </row>
    <row r="319" spans="2:7" s="32" customFormat="1" x14ac:dyDescent="0.25">
      <c r="B319" s="39"/>
      <c r="D319" s="59"/>
      <c r="E319" s="68"/>
      <c r="F319" s="95"/>
      <c r="G319" s="21"/>
    </row>
    <row r="320" spans="2:7" s="32" customFormat="1" x14ac:dyDescent="0.25">
      <c r="B320" s="39"/>
      <c r="D320" s="59"/>
      <c r="E320" s="68"/>
      <c r="F320" s="95"/>
      <c r="G320" s="21"/>
    </row>
    <row r="321" spans="2:7" s="32" customFormat="1" x14ac:dyDescent="0.25">
      <c r="B321" s="39"/>
      <c r="D321" s="59"/>
      <c r="E321" s="68"/>
      <c r="F321" s="95"/>
      <c r="G321" s="21"/>
    </row>
    <row r="322" spans="2:7" s="32" customFormat="1" x14ac:dyDescent="0.25">
      <c r="B322" s="39"/>
      <c r="D322" s="59"/>
      <c r="E322" s="68"/>
      <c r="F322" s="95"/>
      <c r="G322" s="21"/>
    </row>
    <row r="323" spans="2:7" s="32" customFormat="1" x14ac:dyDescent="0.25">
      <c r="B323" s="39"/>
      <c r="D323" s="59"/>
      <c r="E323" s="68"/>
      <c r="F323" s="95"/>
      <c r="G323" s="21"/>
    </row>
    <row r="324" spans="2:7" s="32" customFormat="1" x14ac:dyDescent="0.25">
      <c r="B324" s="39"/>
      <c r="D324" s="59"/>
      <c r="E324" s="68"/>
      <c r="F324" s="95"/>
      <c r="G324" s="21"/>
    </row>
    <row r="325" spans="2:7" s="32" customFormat="1" x14ac:dyDescent="0.25">
      <c r="B325" s="39"/>
      <c r="D325" s="59"/>
      <c r="E325" s="68"/>
      <c r="F325" s="95"/>
      <c r="G325" s="21"/>
    </row>
    <row r="326" spans="2:7" s="32" customFormat="1" x14ac:dyDescent="0.25">
      <c r="B326" s="39"/>
      <c r="D326" s="59"/>
      <c r="E326" s="68"/>
      <c r="F326" s="95"/>
      <c r="G326" s="21"/>
    </row>
    <row r="327" spans="2:7" s="32" customFormat="1" x14ac:dyDescent="0.25">
      <c r="B327" s="39"/>
      <c r="D327" s="59"/>
      <c r="E327" s="68"/>
      <c r="F327" s="95"/>
      <c r="G327" s="21"/>
    </row>
    <row r="328" spans="2:7" s="32" customFormat="1" x14ac:dyDescent="0.25">
      <c r="B328" s="39"/>
      <c r="D328" s="59"/>
      <c r="E328" s="68"/>
      <c r="F328" s="95"/>
      <c r="G328" s="21"/>
    </row>
    <row r="329" spans="2:7" s="32" customFormat="1" x14ac:dyDescent="0.25">
      <c r="B329" s="39"/>
      <c r="D329" s="59"/>
      <c r="E329" s="68"/>
      <c r="F329" s="95"/>
      <c r="G329" s="21"/>
    </row>
    <row r="330" spans="2:7" s="32" customFormat="1" x14ac:dyDescent="0.25">
      <c r="B330" s="39"/>
      <c r="D330" s="59"/>
      <c r="E330" s="68"/>
      <c r="F330" s="95"/>
      <c r="G330" s="21"/>
    </row>
    <row r="331" spans="2:7" s="32" customFormat="1" x14ac:dyDescent="0.25">
      <c r="B331" s="39"/>
      <c r="D331" s="59"/>
      <c r="E331" s="68"/>
      <c r="F331" s="95"/>
      <c r="G331" s="21"/>
    </row>
    <row r="332" spans="2:7" s="32" customFormat="1" x14ac:dyDescent="0.25">
      <c r="B332" s="39"/>
      <c r="D332" s="59"/>
      <c r="E332" s="68"/>
      <c r="F332" s="95"/>
      <c r="G332" s="21"/>
    </row>
    <row r="333" spans="2:7" s="32" customFormat="1" x14ac:dyDescent="0.25">
      <c r="B333" s="39"/>
      <c r="D333" s="59"/>
      <c r="E333" s="68"/>
      <c r="F333" s="95"/>
      <c r="G333" s="21"/>
    </row>
    <row r="334" spans="2:7" s="32" customFormat="1" x14ac:dyDescent="0.25">
      <c r="B334" s="39"/>
      <c r="D334" s="59"/>
      <c r="E334" s="68"/>
      <c r="F334" s="95"/>
      <c r="G334" s="21"/>
    </row>
    <row r="335" spans="2:7" s="32" customFormat="1" x14ac:dyDescent="0.25">
      <c r="B335" s="39"/>
      <c r="D335" s="59"/>
      <c r="E335" s="68"/>
      <c r="F335" s="95"/>
      <c r="G335" s="21"/>
    </row>
    <row r="336" spans="2:7" s="32" customFormat="1" x14ac:dyDescent="0.25">
      <c r="B336" s="39"/>
      <c r="D336" s="59"/>
      <c r="E336" s="68"/>
      <c r="F336" s="95"/>
      <c r="G336" s="21"/>
    </row>
    <row r="337" spans="2:7" s="32" customFormat="1" x14ac:dyDescent="0.25">
      <c r="B337" s="39"/>
      <c r="D337" s="59"/>
      <c r="E337" s="68"/>
      <c r="F337" s="95"/>
      <c r="G337" s="21"/>
    </row>
    <row r="338" spans="2:7" s="32" customFormat="1" x14ac:dyDescent="0.25">
      <c r="B338" s="39"/>
      <c r="D338" s="59"/>
      <c r="E338" s="68"/>
      <c r="F338" s="95"/>
      <c r="G338" s="21"/>
    </row>
    <row r="339" spans="2:7" s="32" customFormat="1" x14ac:dyDescent="0.25">
      <c r="B339" s="39"/>
      <c r="D339" s="59"/>
      <c r="E339" s="68"/>
      <c r="F339" s="95"/>
      <c r="G339" s="21"/>
    </row>
    <row r="340" spans="2:7" s="32" customFormat="1" x14ac:dyDescent="0.25">
      <c r="B340" s="39"/>
      <c r="D340" s="59"/>
      <c r="E340" s="68"/>
      <c r="F340" s="95"/>
      <c r="G340" s="21"/>
    </row>
    <row r="341" spans="2:7" s="32" customFormat="1" x14ac:dyDescent="0.25">
      <c r="B341" s="39"/>
      <c r="D341" s="59"/>
      <c r="E341" s="68"/>
      <c r="F341" s="95"/>
      <c r="G341" s="21"/>
    </row>
    <row r="342" spans="2:7" s="32" customFormat="1" x14ac:dyDescent="0.25">
      <c r="B342" s="39"/>
      <c r="D342" s="59"/>
      <c r="E342" s="68"/>
      <c r="F342" s="95"/>
      <c r="G342" s="21"/>
    </row>
    <row r="343" spans="2:7" s="32" customFormat="1" x14ac:dyDescent="0.25">
      <c r="B343" s="39"/>
      <c r="D343" s="59"/>
      <c r="E343" s="68"/>
      <c r="F343" s="95"/>
      <c r="G343" s="21"/>
    </row>
    <row r="344" spans="2:7" s="32" customFormat="1" x14ac:dyDescent="0.25">
      <c r="B344" s="39"/>
      <c r="D344" s="59"/>
      <c r="E344" s="68"/>
      <c r="F344" s="95"/>
      <c r="G344" s="21"/>
    </row>
    <row r="345" spans="2:7" s="32" customFormat="1" x14ac:dyDescent="0.25">
      <c r="B345" s="39"/>
      <c r="D345" s="59"/>
      <c r="E345" s="68"/>
      <c r="F345" s="95"/>
      <c r="G345" s="21"/>
    </row>
    <row r="346" spans="2:7" s="32" customFormat="1" x14ac:dyDescent="0.25">
      <c r="B346" s="39"/>
      <c r="D346" s="59"/>
      <c r="E346" s="68"/>
      <c r="F346" s="95"/>
      <c r="G346" s="21"/>
    </row>
    <row r="347" spans="2:7" s="32" customFormat="1" x14ac:dyDescent="0.25">
      <c r="B347" s="39"/>
      <c r="D347" s="59"/>
      <c r="E347" s="68"/>
      <c r="F347" s="95"/>
      <c r="G347" s="21"/>
    </row>
    <row r="348" spans="2:7" s="32" customFormat="1" x14ac:dyDescent="0.25">
      <c r="B348" s="39"/>
      <c r="D348" s="59"/>
      <c r="E348" s="68"/>
      <c r="F348" s="95"/>
      <c r="G348" s="21"/>
    </row>
    <row r="349" spans="2:7" s="32" customFormat="1" x14ac:dyDescent="0.25">
      <c r="B349" s="39"/>
      <c r="D349" s="59"/>
      <c r="E349" s="68"/>
      <c r="F349" s="95"/>
      <c r="G349" s="21"/>
    </row>
    <row r="350" spans="2:7" s="32" customFormat="1" x14ac:dyDescent="0.25">
      <c r="B350" s="39"/>
      <c r="D350" s="59"/>
      <c r="E350" s="68"/>
      <c r="F350" s="95"/>
      <c r="G350" s="21"/>
    </row>
    <row r="351" spans="2:7" s="32" customFormat="1" x14ac:dyDescent="0.25">
      <c r="B351" s="39"/>
      <c r="D351" s="59"/>
      <c r="E351" s="68"/>
      <c r="F351" s="95"/>
      <c r="G351" s="21"/>
    </row>
    <row r="352" spans="2:7" s="32" customFormat="1" x14ac:dyDescent="0.25">
      <c r="B352" s="39"/>
      <c r="D352" s="59"/>
      <c r="E352" s="68"/>
      <c r="F352" s="95"/>
      <c r="G352" s="21"/>
    </row>
    <row r="353" spans="2:7" s="32" customFormat="1" x14ac:dyDescent="0.25">
      <c r="B353" s="39"/>
      <c r="D353" s="59"/>
      <c r="E353" s="68"/>
      <c r="F353" s="95"/>
      <c r="G353" s="21"/>
    </row>
    <row r="354" spans="2:7" s="32" customFormat="1" x14ac:dyDescent="0.25">
      <c r="B354" s="39"/>
      <c r="D354" s="59"/>
      <c r="E354" s="68"/>
      <c r="F354" s="95"/>
      <c r="G354" s="21"/>
    </row>
    <row r="355" spans="2:7" s="32" customFormat="1" x14ac:dyDescent="0.25">
      <c r="B355" s="39"/>
      <c r="D355" s="59"/>
      <c r="E355" s="68"/>
      <c r="F355" s="95"/>
      <c r="G355" s="21"/>
    </row>
    <row r="356" spans="2:7" s="32" customFormat="1" x14ac:dyDescent="0.25">
      <c r="B356" s="39"/>
      <c r="D356" s="59"/>
      <c r="E356" s="68"/>
      <c r="F356" s="95"/>
      <c r="G356" s="21"/>
    </row>
    <row r="357" spans="2:7" s="32" customFormat="1" x14ac:dyDescent="0.25">
      <c r="B357" s="39"/>
      <c r="D357" s="59"/>
      <c r="E357" s="68"/>
      <c r="F357" s="95"/>
      <c r="G357" s="21"/>
    </row>
    <row r="358" spans="2:7" s="32" customFormat="1" x14ac:dyDescent="0.25">
      <c r="B358" s="39"/>
      <c r="D358" s="59"/>
      <c r="E358" s="68"/>
      <c r="F358" s="95"/>
      <c r="G358" s="21"/>
    </row>
    <row r="359" spans="2:7" s="32" customFormat="1" x14ac:dyDescent="0.25">
      <c r="B359" s="39"/>
      <c r="D359" s="59"/>
      <c r="E359" s="68"/>
      <c r="F359" s="95"/>
      <c r="G359" s="21"/>
    </row>
    <row r="360" spans="2:7" s="32" customFormat="1" x14ac:dyDescent="0.25">
      <c r="B360" s="39"/>
      <c r="D360" s="59"/>
      <c r="E360" s="68"/>
      <c r="F360" s="95"/>
      <c r="G360" s="21"/>
    </row>
    <row r="361" spans="2:7" s="32" customFormat="1" x14ac:dyDescent="0.25">
      <c r="B361" s="39"/>
      <c r="D361" s="59"/>
      <c r="E361" s="68"/>
      <c r="F361" s="95"/>
      <c r="G361" s="21"/>
    </row>
    <row r="362" spans="2:7" s="32" customFormat="1" x14ac:dyDescent="0.25">
      <c r="B362" s="39"/>
      <c r="D362" s="59"/>
      <c r="E362" s="68"/>
      <c r="F362" s="95"/>
      <c r="G362" s="21"/>
    </row>
    <row r="363" spans="2:7" s="32" customFormat="1" x14ac:dyDescent="0.25">
      <c r="B363" s="39"/>
      <c r="D363" s="59"/>
      <c r="E363" s="68"/>
      <c r="F363" s="95"/>
      <c r="G363" s="21"/>
    </row>
    <row r="364" spans="2:7" s="32" customFormat="1" x14ac:dyDescent="0.25">
      <c r="B364" s="39"/>
      <c r="D364" s="59"/>
      <c r="E364" s="68"/>
      <c r="F364" s="95"/>
      <c r="G364" s="21"/>
    </row>
    <row r="365" spans="2:7" s="32" customFormat="1" x14ac:dyDescent="0.25">
      <c r="B365" s="39"/>
      <c r="D365" s="59"/>
      <c r="E365" s="68"/>
      <c r="F365" s="95"/>
      <c r="G365" s="21"/>
    </row>
    <row r="366" spans="2:7" s="32" customFormat="1" x14ac:dyDescent="0.25">
      <c r="B366" s="39"/>
      <c r="D366" s="59"/>
      <c r="E366" s="68"/>
      <c r="F366" s="95"/>
      <c r="G366" s="21"/>
    </row>
    <row r="367" spans="2:7" s="32" customFormat="1" x14ac:dyDescent="0.25">
      <c r="B367" s="39"/>
      <c r="D367" s="59"/>
      <c r="E367" s="68"/>
      <c r="F367" s="95"/>
      <c r="G367" s="21"/>
    </row>
    <row r="368" spans="2:7" s="32" customFormat="1" x14ac:dyDescent="0.25">
      <c r="B368" s="39"/>
      <c r="D368" s="59"/>
      <c r="E368" s="68"/>
      <c r="F368" s="95"/>
      <c r="G368" s="21"/>
    </row>
    <row r="369" spans="2:7" s="32" customFormat="1" x14ac:dyDescent="0.25">
      <c r="B369" s="39"/>
      <c r="D369" s="59"/>
      <c r="E369" s="68"/>
      <c r="F369" s="95"/>
      <c r="G369" s="21"/>
    </row>
    <row r="370" spans="2:7" s="32" customFormat="1" x14ac:dyDescent="0.25">
      <c r="B370" s="39"/>
      <c r="D370" s="59"/>
      <c r="E370" s="68"/>
      <c r="F370" s="95"/>
      <c r="G370" s="21"/>
    </row>
    <row r="371" spans="2:7" s="32" customFormat="1" x14ac:dyDescent="0.25">
      <c r="B371" s="39"/>
      <c r="D371" s="59"/>
      <c r="E371" s="68"/>
      <c r="F371" s="95"/>
      <c r="G371" s="21"/>
    </row>
    <row r="372" spans="2:7" s="32" customFormat="1" x14ac:dyDescent="0.25">
      <c r="B372" s="39"/>
      <c r="D372" s="59"/>
      <c r="E372" s="68"/>
      <c r="F372" s="95"/>
      <c r="G372" s="21"/>
    </row>
    <row r="373" spans="2:7" s="32" customFormat="1" x14ac:dyDescent="0.25">
      <c r="B373" s="39"/>
      <c r="D373" s="59"/>
      <c r="E373" s="68"/>
      <c r="F373" s="95"/>
      <c r="G373" s="21"/>
    </row>
    <row r="374" spans="2:7" s="32" customFormat="1" x14ac:dyDescent="0.25">
      <c r="B374" s="39"/>
      <c r="D374" s="59"/>
      <c r="E374" s="68"/>
      <c r="F374" s="95"/>
      <c r="G374" s="21"/>
    </row>
    <row r="375" spans="2:7" s="32" customFormat="1" x14ac:dyDescent="0.25">
      <c r="B375" s="39"/>
      <c r="D375" s="59"/>
      <c r="E375" s="68"/>
      <c r="F375" s="95"/>
      <c r="G375" s="21"/>
    </row>
    <row r="376" spans="2:7" s="32" customFormat="1" x14ac:dyDescent="0.25">
      <c r="B376" s="39"/>
      <c r="D376" s="59"/>
      <c r="E376" s="68"/>
      <c r="F376" s="95"/>
      <c r="G376" s="21"/>
    </row>
    <row r="377" spans="2:7" s="32" customFormat="1" x14ac:dyDescent="0.25">
      <c r="B377" s="39"/>
      <c r="D377" s="59"/>
      <c r="E377" s="68"/>
      <c r="F377" s="95"/>
      <c r="G377" s="21"/>
    </row>
    <row r="378" spans="2:7" s="32" customFormat="1" x14ac:dyDescent="0.25">
      <c r="B378" s="39"/>
      <c r="D378" s="59"/>
      <c r="E378" s="68"/>
      <c r="F378" s="95"/>
      <c r="G378" s="21"/>
    </row>
    <row r="379" spans="2:7" s="32" customFormat="1" x14ac:dyDescent="0.25">
      <c r="B379" s="39"/>
      <c r="D379" s="59"/>
      <c r="E379" s="68"/>
      <c r="F379" s="95"/>
      <c r="G379" s="21"/>
    </row>
    <row r="380" spans="2:7" s="32" customFormat="1" x14ac:dyDescent="0.25">
      <c r="B380" s="39"/>
      <c r="D380" s="59"/>
      <c r="E380" s="68"/>
      <c r="F380" s="95"/>
      <c r="G380" s="21"/>
    </row>
    <row r="381" spans="2:7" s="32" customFormat="1" x14ac:dyDescent="0.25">
      <c r="B381" s="39"/>
      <c r="D381" s="59"/>
      <c r="E381" s="68"/>
      <c r="F381" s="95"/>
      <c r="G381" s="21"/>
    </row>
    <row r="382" spans="2:7" s="32" customFormat="1" x14ac:dyDescent="0.25">
      <c r="B382" s="39"/>
      <c r="D382" s="59"/>
      <c r="E382" s="68"/>
      <c r="F382" s="95"/>
      <c r="G382" s="21"/>
    </row>
    <row r="383" spans="2:7" s="32" customFormat="1" x14ac:dyDescent="0.25">
      <c r="B383" s="39"/>
      <c r="D383" s="59"/>
      <c r="E383" s="68"/>
      <c r="F383" s="95"/>
      <c r="G383" s="21"/>
    </row>
    <row r="384" spans="2:7" s="32" customFormat="1" x14ac:dyDescent="0.25">
      <c r="B384" s="39"/>
      <c r="D384" s="59"/>
      <c r="E384" s="68"/>
      <c r="F384" s="95"/>
      <c r="G384" s="21"/>
    </row>
    <row r="385" spans="2:7" s="32" customFormat="1" x14ac:dyDescent="0.25">
      <c r="B385" s="39"/>
      <c r="D385" s="59"/>
      <c r="E385" s="68"/>
      <c r="F385" s="95"/>
      <c r="G385" s="21"/>
    </row>
    <row r="386" spans="2:7" s="32" customFormat="1" x14ac:dyDescent="0.25">
      <c r="B386" s="39"/>
      <c r="D386" s="59"/>
      <c r="E386" s="68"/>
      <c r="F386" s="95"/>
      <c r="G386" s="21"/>
    </row>
    <row r="387" spans="2:7" s="32" customFormat="1" x14ac:dyDescent="0.25">
      <c r="B387" s="39"/>
      <c r="D387" s="59"/>
      <c r="E387" s="68"/>
      <c r="F387" s="95"/>
      <c r="G387" s="21"/>
    </row>
    <row r="388" spans="2:7" s="32" customFormat="1" x14ac:dyDescent="0.25">
      <c r="B388" s="39"/>
      <c r="D388" s="59"/>
      <c r="E388" s="68"/>
      <c r="F388" s="95"/>
      <c r="G388" s="21"/>
    </row>
    <row r="389" spans="2:7" s="32" customFormat="1" x14ac:dyDescent="0.25">
      <c r="B389" s="39"/>
      <c r="D389" s="59"/>
      <c r="E389" s="68"/>
      <c r="F389" s="95"/>
      <c r="G389" s="21"/>
    </row>
    <row r="390" spans="2:7" s="32" customFormat="1" x14ac:dyDescent="0.25">
      <c r="B390" s="39"/>
      <c r="D390" s="59"/>
      <c r="E390" s="68"/>
      <c r="F390" s="95"/>
      <c r="G390" s="21"/>
    </row>
    <row r="391" spans="2:7" s="32" customFormat="1" x14ac:dyDescent="0.25">
      <c r="B391" s="39"/>
      <c r="D391" s="59"/>
      <c r="E391" s="68"/>
      <c r="F391" s="95"/>
      <c r="G391" s="21"/>
    </row>
    <row r="392" spans="2:7" s="32" customFormat="1" x14ac:dyDescent="0.25">
      <c r="B392" s="39"/>
      <c r="D392" s="59"/>
      <c r="E392" s="68"/>
      <c r="F392" s="95"/>
      <c r="G392" s="21"/>
    </row>
    <row r="393" spans="2:7" s="32" customFormat="1" x14ac:dyDescent="0.25">
      <c r="B393" s="39"/>
      <c r="D393" s="59"/>
      <c r="E393" s="68"/>
      <c r="F393" s="95"/>
      <c r="G393" s="21"/>
    </row>
    <row r="394" spans="2:7" s="32" customFormat="1" x14ac:dyDescent="0.25">
      <c r="B394" s="39"/>
      <c r="D394" s="59"/>
      <c r="E394" s="68"/>
      <c r="F394" s="95"/>
      <c r="G394" s="21"/>
    </row>
    <row r="395" spans="2:7" s="32" customFormat="1" x14ac:dyDescent="0.25">
      <c r="B395" s="39"/>
      <c r="D395" s="59"/>
      <c r="E395" s="68"/>
      <c r="F395" s="95"/>
      <c r="G395" s="21"/>
    </row>
    <row r="396" spans="2:7" s="32" customFormat="1" x14ac:dyDescent="0.25">
      <c r="B396" s="39"/>
      <c r="D396" s="59"/>
      <c r="E396" s="68"/>
      <c r="F396" s="95"/>
      <c r="G396" s="21"/>
    </row>
    <row r="397" spans="2:7" s="32" customFormat="1" x14ac:dyDescent="0.25">
      <c r="B397" s="39"/>
      <c r="D397" s="59"/>
      <c r="E397" s="68"/>
      <c r="F397" s="95"/>
      <c r="G397" s="21"/>
    </row>
    <row r="398" spans="2:7" s="32" customFormat="1" x14ac:dyDescent="0.25">
      <c r="B398" s="39"/>
      <c r="D398" s="59"/>
      <c r="E398" s="68"/>
      <c r="F398" s="95"/>
      <c r="G398" s="21"/>
    </row>
    <row r="399" spans="2:7" s="32" customFormat="1" x14ac:dyDescent="0.25">
      <c r="B399" s="39"/>
      <c r="D399" s="59"/>
      <c r="E399" s="68"/>
      <c r="F399" s="95"/>
      <c r="G399" s="21"/>
    </row>
    <row r="400" spans="2:7" s="32" customFormat="1" x14ac:dyDescent="0.25">
      <c r="B400" s="39"/>
      <c r="D400" s="59"/>
      <c r="E400" s="68"/>
      <c r="F400" s="95"/>
      <c r="G400" s="21"/>
    </row>
    <row r="401" spans="2:7" s="32" customFormat="1" x14ac:dyDescent="0.25">
      <c r="B401" s="39"/>
      <c r="D401" s="59"/>
      <c r="E401" s="68"/>
      <c r="F401" s="95"/>
      <c r="G401" s="21"/>
    </row>
    <row r="402" spans="2:7" s="32" customFormat="1" x14ac:dyDescent="0.25">
      <c r="B402" s="39"/>
      <c r="D402" s="59"/>
      <c r="E402" s="68"/>
      <c r="F402" s="95"/>
      <c r="G402" s="21"/>
    </row>
    <row r="403" spans="2:7" s="32" customFormat="1" x14ac:dyDescent="0.25">
      <c r="B403" s="39"/>
      <c r="D403" s="59"/>
      <c r="E403" s="68"/>
      <c r="F403" s="95"/>
      <c r="G403" s="21"/>
    </row>
    <row r="404" spans="2:7" s="32" customFormat="1" x14ac:dyDescent="0.25">
      <c r="B404" s="39"/>
      <c r="D404" s="59"/>
      <c r="E404" s="68"/>
      <c r="F404" s="95"/>
      <c r="G404" s="21"/>
    </row>
    <row r="405" spans="2:7" s="32" customFormat="1" x14ac:dyDescent="0.25">
      <c r="B405" s="39"/>
      <c r="D405" s="59"/>
      <c r="E405" s="68"/>
      <c r="F405" s="95"/>
      <c r="G405" s="21"/>
    </row>
    <row r="406" spans="2:7" s="32" customFormat="1" x14ac:dyDescent="0.25">
      <c r="B406" s="39"/>
      <c r="D406" s="59"/>
      <c r="E406" s="68"/>
      <c r="F406" s="95"/>
      <c r="G406" s="21"/>
    </row>
    <row r="407" spans="2:7" s="32" customFormat="1" x14ac:dyDescent="0.25">
      <c r="B407" s="39"/>
      <c r="D407" s="59"/>
      <c r="E407" s="68"/>
      <c r="F407" s="95"/>
      <c r="G407" s="21"/>
    </row>
    <row r="408" spans="2:7" s="32" customFormat="1" x14ac:dyDescent="0.25">
      <c r="B408" s="39"/>
      <c r="D408" s="59"/>
      <c r="E408" s="68"/>
      <c r="F408" s="95"/>
      <c r="G408" s="21"/>
    </row>
    <row r="409" spans="2:7" s="32" customFormat="1" x14ac:dyDescent="0.25">
      <c r="B409" s="39"/>
      <c r="D409" s="59"/>
      <c r="E409" s="68"/>
      <c r="F409" s="95"/>
      <c r="G409" s="21"/>
    </row>
    <row r="410" spans="2:7" s="32" customFormat="1" x14ac:dyDescent="0.25">
      <c r="B410" s="39"/>
      <c r="D410" s="59"/>
      <c r="E410" s="68"/>
      <c r="F410" s="95"/>
      <c r="G410" s="21"/>
    </row>
    <row r="411" spans="2:7" s="32" customFormat="1" x14ac:dyDescent="0.25">
      <c r="B411" s="39"/>
      <c r="D411" s="59"/>
      <c r="E411" s="68"/>
      <c r="F411" s="95"/>
      <c r="G411" s="21"/>
    </row>
    <row r="412" spans="2:7" s="32" customFormat="1" x14ac:dyDescent="0.25">
      <c r="B412" s="39"/>
      <c r="D412" s="59"/>
      <c r="E412" s="68"/>
      <c r="F412" s="95"/>
      <c r="G412" s="21"/>
    </row>
    <row r="413" spans="2:7" s="32" customFormat="1" x14ac:dyDescent="0.25">
      <c r="B413" s="39"/>
      <c r="D413" s="59"/>
      <c r="E413" s="68"/>
      <c r="F413" s="95"/>
      <c r="G413" s="21"/>
    </row>
    <row r="414" spans="2:7" s="32" customFormat="1" x14ac:dyDescent="0.25">
      <c r="B414" s="39"/>
      <c r="D414" s="59"/>
      <c r="E414" s="68"/>
      <c r="F414" s="95"/>
      <c r="G414" s="21"/>
    </row>
    <row r="415" spans="2:7" s="32" customFormat="1" x14ac:dyDescent="0.25">
      <c r="B415" s="39"/>
      <c r="D415" s="59"/>
      <c r="E415" s="68"/>
      <c r="F415" s="95"/>
      <c r="G415" s="21"/>
    </row>
    <row r="416" spans="2:7" s="32" customFormat="1" x14ac:dyDescent="0.25">
      <c r="B416" s="39"/>
      <c r="D416" s="59"/>
      <c r="E416" s="68"/>
      <c r="F416" s="95"/>
      <c r="G416" s="21"/>
    </row>
    <row r="417" spans="2:7" s="32" customFormat="1" x14ac:dyDescent="0.25">
      <c r="B417" s="39"/>
      <c r="D417" s="59"/>
      <c r="E417" s="68"/>
      <c r="F417" s="95"/>
      <c r="G417" s="21"/>
    </row>
    <row r="418" spans="2:7" s="32" customFormat="1" x14ac:dyDescent="0.25">
      <c r="B418" s="39"/>
      <c r="D418" s="59"/>
      <c r="E418" s="68"/>
      <c r="F418" s="95"/>
      <c r="G418" s="21"/>
    </row>
    <row r="419" spans="2:7" s="32" customFormat="1" x14ac:dyDescent="0.25">
      <c r="B419" s="39"/>
      <c r="D419" s="59"/>
      <c r="E419" s="68"/>
      <c r="F419" s="95"/>
      <c r="G419" s="21"/>
    </row>
    <row r="420" spans="2:7" s="32" customFormat="1" x14ac:dyDescent="0.25">
      <c r="B420" s="39"/>
      <c r="D420" s="59"/>
      <c r="E420" s="68"/>
      <c r="F420" s="95"/>
      <c r="G420" s="21"/>
    </row>
    <row r="421" spans="2:7" s="32" customFormat="1" x14ac:dyDescent="0.25">
      <c r="B421" s="39"/>
      <c r="D421" s="59"/>
      <c r="E421" s="68"/>
      <c r="F421" s="95"/>
      <c r="G421" s="21"/>
    </row>
    <row r="422" spans="2:7" s="32" customFormat="1" x14ac:dyDescent="0.25">
      <c r="B422" s="39"/>
      <c r="D422" s="59"/>
      <c r="E422" s="68"/>
      <c r="F422" s="95"/>
      <c r="G422" s="21"/>
    </row>
    <row r="423" spans="2:7" s="32" customFormat="1" x14ac:dyDescent="0.25">
      <c r="B423" s="39"/>
      <c r="D423" s="59"/>
      <c r="E423" s="68"/>
      <c r="F423" s="95"/>
      <c r="G423" s="21"/>
    </row>
    <row r="424" spans="2:7" s="32" customFormat="1" x14ac:dyDescent="0.25">
      <c r="B424" s="39"/>
      <c r="D424" s="59"/>
      <c r="E424" s="68"/>
      <c r="F424" s="95"/>
      <c r="G424" s="21"/>
    </row>
    <row r="425" spans="2:7" s="32" customFormat="1" x14ac:dyDescent="0.25">
      <c r="B425" s="39"/>
      <c r="D425" s="59"/>
      <c r="E425" s="68"/>
      <c r="F425" s="95"/>
      <c r="G425" s="21"/>
    </row>
    <row r="426" spans="2:7" s="32" customFormat="1" x14ac:dyDescent="0.25">
      <c r="B426" s="39"/>
      <c r="D426" s="59"/>
      <c r="E426" s="68"/>
      <c r="F426" s="95"/>
      <c r="G426" s="21"/>
    </row>
    <row r="427" spans="2:7" s="32" customFormat="1" x14ac:dyDescent="0.25">
      <c r="B427" s="39"/>
      <c r="D427" s="59"/>
      <c r="E427" s="68"/>
      <c r="F427" s="95"/>
      <c r="G427" s="21"/>
    </row>
    <row r="428" spans="2:7" s="32" customFormat="1" x14ac:dyDescent="0.25">
      <c r="B428" s="39"/>
      <c r="D428" s="59"/>
      <c r="E428" s="68"/>
      <c r="F428" s="95"/>
      <c r="G428" s="21"/>
    </row>
    <row r="429" spans="2:7" s="32" customFormat="1" x14ac:dyDescent="0.25">
      <c r="B429" s="39"/>
      <c r="D429" s="59"/>
      <c r="E429" s="68"/>
      <c r="F429" s="95"/>
      <c r="G429" s="21"/>
    </row>
    <row r="430" spans="2:7" s="32" customFormat="1" x14ac:dyDescent="0.25">
      <c r="B430" s="39"/>
      <c r="D430" s="59"/>
      <c r="E430" s="68"/>
      <c r="F430" s="95"/>
      <c r="G430" s="21"/>
    </row>
    <row r="431" spans="2:7" s="32" customFormat="1" x14ac:dyDescent="0.25">
      <c r="B431" s="39"/>
      <c r="D431" s="59"/>
      <c r="E431" s="68"/>
      <c r="F431" s="95"/>
      <c r="G431" s="21"/>
    </row>
    <row r="432" spans="2:7" s="32" customFormat="1" x14ac:dyDescent="0.25">
      <c r="B432" s="39"/>
      <c r="D432" s="59"/>
      <c r="E432" s="68"/>
      <c r="F432" s="95"/>
      <c r="G432" s="21"/>
    </row>
    <row r="433" spans="2:7" s="32" customFormat="1" x14ac:dyDescent="0.25">
      <c r="B433" s="39"/>
      <c r="D433" s="59"/>
      <c r="E433" s="68"/>
      <c r="F433" s="95"/>
      <c r="G433" s="21"/>
    </row>
    <row r="434" spans="2:7" s="32" customFormat="1" x14ac:dyDescent="0.25">
      <c r="B434" s="39"/>
      <c r="D434" s="59"/>
      <c r="E434" s="68"/>
      <c r="F434" s="95"/>
      <c r="G434" s="21"/>
    </row>
    <row r="435" spans="2:7" s="32" customFormat="1" x14ac:dyDescent="0.25">
      <c r="B435" s="39"/>
      <c r="D435" s="59"/>
      <c r="E435" s="68"/>
      <c r="F435" s="95"/>
      <c r="G435" s="21"/>
    </row>
    <row r="436" spans="2:7" s="32" customFormat="1" x14ac:dyDescent="0.25">
      <c r="B436" s="39"/>
      <c r="D436" s="59"/>
      <c r="E436" s="68"/>
      <c r="F436" s="95"/>
      <c r="G436" s="21"/>
    </row>
    <row r="437" spans="2:7" s="32" customFormat="1" x14ac:dyDescent="0.25">
      <c r="B437" s="39"/>
      <c r="D437" s="59"/>
      <c r="E437" s="68"/>
      <c r="F437" s="95"/>
      <c r="G437" s="21"/>
    </row>
    <row r="438" spans="2:7" s="32" customFormat="1" x14ac:dyDescent="0.25">
      <c r="B438" s="39"/>
      <c r="D438" s="59"/>
      <c r="E438" s="68"/>
      <c r="F438" s="95"/>
      <c r="G438" s="21"/>
    </row>
    <row r="439" spans="2:7" s="32" customFormat="1" x14ac:dyDescent="0.25">
      <c r="B439" s="39"/>
      <c r="D439" s="59"/>
      <c r="E439" s="68"/>
      <c r="F439" s="95"/>
      <c r="G439" s="21"/>
    </row>
    <row r="440" spans="2:7" s="32" customFormat="1" x14ac:dyDescent="0.25">
      <c r="B440" s="39"/>
      <c r="D440" s="59"/>
      <c r="E440" s="68"/>
      <c r="F440" s="95"/>
      <c r="G440" s="21"/>
    </row>
    <row r="441" spans="2:7" s="32" customFormat="1" x14ac:dyDescent="0.25">
      <c r="B441" s="39"/>
      <c r="D441" s="59"/>
      <c r="E441" s="68"/>
      <c r="F441" s="95"/>
      <c r="G441" s="21"/>
    </row>
    <row r="442" spans="2:7" s="32" customFormat="1" x14ac:dyDescent="0.25">
      <c r="B442" s="39"/>
      <c r="D442" s="59"/>
      <c r="E442" s="68"/>
      <c r="F442" s="95"/>
      <c r="G442" s="21"/>
    </row>
    <row r="443" spans="2:7" s="32" customFormat="1" x14ac:dyDescent="0.25">
      <c r="B443" s="39"/>
      <c r="D443" s="59"/>
      <c r="E443" s="68"/>
      <c r="F443" s="95"/>
      <c r="G443" s="21"/>
    </row>
    <row r="444" spans="2:7" s="32" customFormat="1" x14ac:dyDescent="0.25">
      <c r="B444" s="39"/>
      <c r="D444" s="59"/>
      <c r="E444" s="68"/>
      <c r="F444" s="95"/>
      <c r="G444" s="21"/>
    </row>
    <row r="445" spans="2:7" s="32" customFormat="1" x14ac:dyDescent="0.25">
      <c r="B445" s="39"/>
      <c r="D445" s="59"/>
      <c r="E445" s="68"/>
      <c r="F445" s="95"/>
      <c r="G445" s="21"/>
    </row>
    <row r="446" spans="2:7" s="32" customFormat="1" x14ac:dyDescent="0.25">
      <c r="B446" s="39"/>
      <c r="D446" s="59"/>
      <c r="E446" s="68"/>
      <c r="F446" s="95"/>
      <c r="G446" s="21"/>
    </row>
    <row r="447" spans="2:7" s="32" customFormat="1" x14ac:dyDescent="0.25">
      <c r="B447" s="39"/>
      <c r="D447" s="59"/>
      <c r="E447" s="68"/>
      <c r="F447" s="95"/>
      <c r="G447" s="21"/>
    </row>
    <row r="448" spans="2:7" s="32" customFormat="1" x14ac:dyDescent="0.25">
      <c r="B448" s="39"/>
      <c r="D448" s="59"/>
      <c r="E448" s="68"/>
      <c r="F448" s="95"/>
      <c r="G448" s="21"/>
    </row>
    <row r="449" spans="2:7" s="32" customFormat="1" x14ac:dyDescent="0.25">
      <c r="B449" s="39"/>
      <c r="D449" s="59"/>
      <c r="E449" s="68"/>
      <c r="F449" s="95"/>
      <c r="G449" s="21"/>
    </row>
    <row r="450" spans="2:7" s="32" customFormat="1" x14ac:dyDescent="0.25">
      <c r="B450" s="39"/>
      <c r="D450" s="59"/>
      <c r="E450" s="68"/>
      <c r="F450" s="95"/>
      <c r="G450" s="21"/>
    </row>
    <row r="451" spans="2:7" s="32" customFormat="1" x14ac:dyDescent="0.25">
      <c r="B451" s="39"/>
      <c r="D451" s="59"/>
      <c r="E451" s="68"/>
      <c r="F451" s="95"/>
      <c r="G451" s="21"/>
    </row>
    <row r="452" spans="2:7" s="32" customFormat="1" x14ac:dyDescent="0.25">
      <c r="B452" s="39"/>
      <c r="D452" s="59"/>
      <c r="E452" s="68"/>
      <c r="F452" s="95"/>
      <c r="G452" s="21"/>
    </row>
    <row r="453" spans="2:7" s="32" customFormat="1" x14ac:dyDescent="0.25">
      <c r="B453" s="39"/>
      <c r="D453" s="59"/>
      <c r="E453" s="68"/>
      <c r="F453" s="95"/>
      <c r="G453" s="21"/>
    </row>
    <row r="454" spans="2:7" s="32" customFormat="1" x14ac:dyDescent="0.25">
      <c r="B454" s="39"/>
      <c r="D454" s="59"/>
      <c r="E454" s="68"/>
      <c r="F454" s="95"/>
      <c r="G454" s="21"/>
    </row>
    <row r="455" spans="2:7" s="32" customFormat="1" x14ac:dyDescent="0.25">
      <c r="B455" s="39"/>
      <c r="D455" s="59"/>
      <c r="E455" s="68"/>
      <c r="F455" s="95"/>
      <c r="G455" s="21"/>
    </row>
    <row r="456" spans="2:7" s="32" customFormat="1" x14ac:dyDescent="0.25">
      <c r="B456" s="39"/>
      <c r="D456" s="59"/>
      <c r="E456" s="68"/>
      <c r="F456" s="95"/>
      <c r="G456" s="21"/>
    </row>
    <row r="457" spans="2:7" s="32" customFormat="1" x14ac:dyDescent="0.25">
      <c r="B457" s="39"/>
      <c r="D457" s="59"/>
      <c r="E457" s="68"/>
      <c r="F457" s="95"/>
      <c r="G457" s="21"/>
    </row>
    <row r="458" spans="2:7" s="32" customFormat="1" x14ac:dyDescent="0.25">
      <c r="B458" s="39"/>
      <c r="D458" s="59"/>
      <c r="E458" s="68"/>
      <c r="F458" s="95"/>
      <c r="G458" s="21"/>
    </row>
    <row r="459" spans="2:7" s="32" customFormat="1" x14ac:dyDescent="0.25">
      <c r="B459" s="39"/>
      <c r="D459" s="59"/>
      <c r="E459" s="68"/>
      <c r="F459" s="95"/>
      <c r="G459" s="21"/>
    </row>
    <row r="460" spans="2:7" s="32" customFormat="1" x14ac:dyDescent="0.25">
      <c r="B460" s="39"/>
      <c r="D460" s="59"/>
      <c r="E460" s="68"/>
      <c r="F460" s="95"/>
      <c r="G460" s="21"/>
    </row>
    <row r="461" spans="2:7" s="32" customFormat="1" x14ac:dyDescent="0.25">
      <c r="B461" s="39"/>
      <c r="D461" s="59"/>
      <c r="E461" s="68"/>
      <c r="F461" s="95"/>
      <c r="G461" s="21"/>
    </row>
    <row r="462" spans="2:7" s="32" customFormat="1" x14ac:dyDescent="0.25">
      <c r="B462" s="39"/>
      <c r="D462" s="59"/>
      <c r="E462" s="68"/>
      <c r="F462" s="95"/>
      <c r="G462" s="21"/>
    </row>
    <row r="463" spans="2:7" s="32" customFormat="1" x14ac:dyDescent="0.25">
      <c r="B463" s="39"/>
      <c r="D463" s="59"/>
      <c r="E463" s="68"/>
      <c r="F463" s="95"/>
      <c r="G463" s="21"/>
    </row>
    <row r="464" spans="2:7" s="32" customFormat="1" x14ac:dyDescent="0.25">
      <c r="B464" s="39"/>
      <c r="D464" s="59"/>
      <c r="E464" s="68"/>
      <c r="F464" s="95"/>
      <c r="G464" s="21"/>
    </row>
    <row r="465" spans="2:7" s="32" customFormat="1" x14ac:dyDescent="0.25">
      <c r="B465" s="39"/>
      <c r="D465" s="59"/>
      <c r="E465" s="68"/>
      <c r="F465" s="95"/>
      <c r="G465" s="21"/>
    </row>
    <row r="466" spans="2:7" s="32" customFormat="1" x14ac:dyDescent="0.25">
      <c r="B466" s="39"/>
      <c r="D466" s="59"/>
      <c r="E466" s="68"/>
      <c r="F466" s="95"/>
      <c r="G466" s="21"/>
    </row>
    <row r="467" spans="2:7" s="32" customFormat="1" x14ac:dyDescent="0.25">
      <c r="B467" s="39"/>
      <c r="D467" s="59"/>
      <c r="E467" s="68"/>
      <c r="F467" s="95"/>
      <c r="G467" s="21"/>
    </row>
    <row r="468" spans="2:7" s="32" customFormat="1" x14ac:dyDescent="0.25">
      <c r="B468" s="39"/>
      <c r="D468" s="59"/>
      <c r="E468" s="68"/>
      <c r="F468" s="95"/>
      <c r="G468" s="21"/>
    </row>
    <row r="469" spans="2:7" s="32" customFormat="1" x14ac:dyDescent="0.25">
      <c r="B469" s="39"/>
      <c r="D469" s="59"/>
      <c r="E469" s="68"/>
      <c r="F469" s="95"/>
      <c r="G469" s="21"/>
    </row>
    <row r="470" spans="2:7" s="32" customFormat="1" x14ac:dyDescent="0.25">
      <c r="B470" s="39"/>
      <c r="D470" s="59"/>
      <c r="E470" s="68"/>
      <c r="F470" s="95"/>
      <c r="G470" s="21"/>
    </row>
    <row r="471" spans="2:7" s="32" customFormat="1" x14ac:dyDescent="0.25">
      <c r="B471" s="39"/>
      <c r="D471" s="59"/>
      <c r="E471" s="68"/>
      <c r="F471" s="95"/>
      <c r="G471" s="21"/>
    </row>
    <row r="472" spans="2:7" s="32" customFormat="1" x14ac:dyDescent="0.25">
      <c r="B472" s="39"/>
      <c r="D472" s="59"/>
      <c r="E472" s="68"/>
      <c r="F472" s="95"/>
      <c r="G472" s="21"/>
    </row>
    <row r="473" spans="2:7" s="32" customFormat="1" x14ac:dyDescent="0.25">
      <c r="B473" s="39"/>
      <c r="D473" s="59"/>
      <c r="E473" s="68"/>
      <c r="F473" s="95"/>
      <c r="G473" s="21"/>
    </row>
    <row r="474" spans="2:7" s="32" customFormat="1" x14ac:dyDescent="0.25">
      <c r="B474" s="39"/>
      <c r="D474" s="59"/>
      <c r="E474" s="68"/>
      <c r="F474" s="95"/>
      <c r="G474" s="21"/>
    </row>
    <row r="475" spans="2:7" s="32" customFormat="1" x14ac:dyDescent="0.25">
      <c r="B475" s="39"/>
      <c r="D475" s="59"/>
      <c r="E475" s="68"/>
      <c r="F475" s="95"/>
      <c r="G475" s="21"/>
    </row>
    <row r="476" spans="2:7" s="32" customFormat="1" x14ac:dyDescent="0.25">
      <c r="B476" s="39"/>
      <c r="D476" s="59"/>
      <c r="E476" s="68"/>
      <c r="F476" s="95"/>
      <c r="G476" s="21"/>
    </row>
    <row r="477" spans="2:7" s="32" customFormat="1" x14ac:dyDescent="0.25">
      <c r="B477" s="39"/>
      <c r="D477" s="59"/>
      <c r="E477" s="68"/>
      <c r="F477" s="95"/>
      <c r="G477" s="21"/>
    </row>
    <row r="478" spans="2:7" s="32" customFormat="1" x14ac:dyDescent="0.25">
      <c r="B478" s="39"/>
      <c r="D478" s="59"/>
      <c r="E478" s="68"/>
      <c r="F478" s="95"/>
      <c r="G478" s="21"/>
    </row>
    <row r="479" spans="2:7" s="32" customFormat="1" x14ac:dyDescent="0.25">
      <c r="B479" s="39"/>
      <c r="D479" s="59"/>
      <c r="E479" s="68"/>
      <c r="F479" s="95"/>
      <c r="G479" s="21"/>
    </row>
    <row r="480" spans="2:7" s="32" customFormat="1" x14ac:dyDescent="0.25">
      <c r="B480" s="39"/>
      <c r="D480" s="59"/>
      <c r="E480" s="68"/>
      <c r="F480" s="95"/>
      <c r="G480" s="21"/>
    </row>
    <row r="481" spans="2:7" s="32" customFormat="1" x14ac:dyDescent="0.25">
      <c r="B481" s="39"/>
      <c r="D481" s="59"/>
      <c r="E481" s="68"/>
      <c r="F481" s="95"/>
      <c r="G481" s="21"/>
    </row>
    <row r="482" spans="2:7" s="32" customFormat="1" x14ac:dyDescent="0.25">
      <c r="B482" s="39"/>
      <c r="D482" s="59"/>
      <c r="E482" s="68"/>
      <c r="F482" s="95"/>
      <c r="G482" s="21"/>
    </row>
    <row r="483" spans="2:7" s="32" customFormat="1" x14ac:dyDescent="0.25">
      <c r="B483" s="39"/>
      <c r="D483" s="59"/>
      <c r="E483" s="68"/>
      <c r="F483" s="95"/>
      <c r="G483" s="21"/>
    </row>
    <row r="484" spans="2:7" s="32" customFormat="1" x14ac:dyDescent="0.25">
      <c r="B484" s="39"/>
      <c r="D484" s="59"/>
      <c r="E484" s="68"/>
      <c r="F484" s="95"/>
      <c r="G484" s="21"/>
    </row>
    <row r="485" spans="2:7" s="32" customFormat="1" x14ac:dyDescent="0.25">
      <c r="B485" s="39"/>
      <c r="D485" s="59"/>
      <c r="E485" s="68"/>
      <c r="F485" s="95"/>
      <c r="G485" s="21"/>
    </row>
    <row r="486" spans="2:7" s="32" customFormat="1" x14ac:dyDescent="0.25">
      <c r="B486" s="39"/>
      <c r="D486" s="59"/>
      <c r="E486" s="68"/>
      <c r="F486" s="95"/>
      <c r="G486" s="21"/>
    </row>
    <row r="487" spans="2:7" s="32" customFormat="1" x14ac:dyDescent="0.25">
      <c r="B487" s="39"/>
      <c r="D487" s="59"/>
      <c r="E487" s="68"/>
      <c r="F487" s="95"/>
      <c r="G487" s="21"/>
    </row>
    <row r="488" spans="2:7" s="32" customFormat="1" x14ac:dyDescent="0.25">
      <c r="B488" s="39"/>
      <c r="D488" s="59"/>
      <c r="E488" s="68"/>
      <c r="F488" s="95"/>
      <c r="G488" s="21"/>
    </row>
    <row r="489" spans="2:7" s="32" customFormat="1" x14ac:dyDescent="0.25">
      <c r="B489" s="39"/>
      <c r="D489" s="59"/>
      <c r="E489" s="68"/>
      <c r="F489" s="95"/>
      <c r="G489" s="21"/>
    </row>
    <row r="490" spans="2:7" s="32" customFormat="1" x14ac:dyDescent="0.25">
      <c r="B490" s="39"/>
      <c r="D490" s="59"/>
      <c r="E490" s="68"/>
      <c r="F490" s="95"/>
      <c r="G490" s="21"/>
    </row>
    <row r="491" spans="2:7" s="32" customFormat="1" x14ac:dyDescent="0.25">
      <c r="B491" s="39"/>
      <c r="D491" s="59"/>
      <c r="E491" s="68"/>
      <c r="F491" s="95"/>
      <c r="G491" s="21"/>
    </row>
    <row r="492" spans="2:7" s="32" customFormat="1" x14ac:dyDescent="0.25">
      <c r="B492" s="39"/>
      <c r="D492" s="59"/>
      <c r="E492" s="68"/>
      <c r="F492" s="95"/>
      <c r="G492" s="21"/>
    </row>
    <row r="493" spans="2:7" s="32" customFormat="1" x14ac:dyDescent="0.25">
      <c r="B493" s="39"/>
      <c r="D493" s="59"/>
      <c r="E493" s="68"/>
      <c r="F493" s="95"/>
      <c r="G493" s="21"/>
    </row>
    <row r="494" spans="2:7" s="32" customFormat="1" x14ac:dyDescent="0.25">
      <c r="B494" s="39"/>
      <c r="D494" s="59"/>
      <c r="E494" s="68"/>
      <c r="F494" s="95"/>
      <c r="G494" s="21"/>
    </row>
    <row r="495" spans="2:7" s="32" customFormat="1" x14ac:dyDescent="0.25">
      <c r="B495" s="39"/>
      <c r="D495" s="59"/>
      <c r="E495" s="68"/>
      <c r="F495" s="95"/>
      <c r="G495" s="21"/>
    </row>
    <row r="496" spans="2:7" s="32" customFormat="1" x14ac:dyDescent="0.25">
      <c r="B496" s="39"/>
      <c r="D496" s="59"/>
      <c r="E496" s="68"/>
      <c r="F496" s="95"/>
      <c r="G496" s="21"/>
    </row>
    <row r="497" spans="2:7" s="32" customFormat="1" x14ac:dyDescent="0.25">
      <c r="B497" s="39"/>
      <c r="D497" s="59"/>
      <c r="E497" s="68"/>
      <c r="F497" s="95"/>
      <c r="G497" s="21"/>
    </row>
    <row r="498" spans="2:7" s="32" customFormat="1" x14ac:dyDescent="0.25">
      <c r="B498" s="39"/>
      <c r="D498" s="59"/>
      <c r="E498" s="68"/>
      <c r="F498" s="95"/>
      <c r="G498" s="21"/>
    </row>
    <row r="499" spans="2:7" s="32" customFormat="1" x14ac:dyDescent="0.25">
      <c r="B499" s="39"/>
      <c r="D499" s="59"/>
      <c r="E499" s="68"/>
      <c r="F499" s="95"/>
      <c r="G499" s="21"/>
    </row>
    <row r="500" spans="2:7" s="32" customFormat="1" x14ac:dyDescent="0.25">
      <c r="B500" s="39"/>
      <c r="D500" s="59"/>
      <c r="E500" s="68"/>
      <c r="F500" s="95"/>
      <c r="G500" s="21"/>
    </row>
    <row r="501" spans="2:7" s="32" customFormat="1" x14ac:dyDescent="0.25">
      <c r="B501" s="39"/>
      <c r="D501" s="59"/>
      <c r="E501" s="68"/>
      <c r="F501" s="95"/>
      <c r="G501" s="21"/>
    </row>
    <row r="502" spans="2:7" s="32" customFormat="1" x14ac:dyDescent="0.25">
      <c r="B502" s="39"/>
      <c r="D502" s="59"/>
      <c r="E502" s="68"/>
      <c r="F502" s="95"/>
      <c r="G502" s="21"/>
    </row>
    <row r="503" spans="2:7" s="32" customFormat="1" x14ac:dyDescent="0.25">
      <c r="B503" s="39"/>
      <c r="D503" s="59"/>
      <c r="E503" s="68"/>
      <c r="F503" s="95"/>
      <c r="G503" s="21"/>
    </row>
    <row r="504" spans="2:7" s="32" customFormat="1" x14ac:dyDescent="0.25">
      <c r="B504" s="39"/>
      <c r="D504" s="59"/>
      <c r="E504" s="68"/>
      <c r="F504" s="95"/>
      <c r="G504" s="21"/>
    </row>
    <row r="505" spans="2:7" s="32" customFormat="1" x14ac:dyDescent="0.25">
      <c r="B505" s="39"/>
      <c r="D505" s="59"/>
      <c r="E505" s="68"/>
      <c r="F505" s="95"/>
      <c r="G505" s="21"/>
    </row>
    <row r="506" spans="2:7" s="32" customFormat="1" x14ac:dyDescent="0.25">
      <c r="B506" s="39"/>
      <c r="D506" s="59"/>
      <c r="E506" s="68"/>
      <c r="F506" s="95"/>
      <c r="G506" s="21"/>
    </row>
    <row r="507" spans="2:7" s="32" customFormat="1" x14ac:dyDescent="0.25">
      <c r="B507" s="39"/>
      <c r="D507" s="59"/>
      <c r="E507" s="68"/>
      <c r="F507" s="95"/>
      <c r="G507" s="21"/>
    </row>
    <row r="508" spans="2:7" s="32" customFormat="1" x14ac:dyDescent="0.25">
      <c r="B508" s="39"/>
      <c r="D508" s="59"/>
      <c r="E508" s="68"/>
      <c r="F508" s="95"/>
      <c r="G508" s="21"/>
    </row>
    <row r="509" spans="2:7" s="32" customFormat="1" x14ac:dyDescent="0.25">
      <c r="B509" s="39"/>
      <c r="D509" s="59"/>
      <c r="E509" s="68"/>
      <c r="F509" s="95"/>
      <c r="G509" s="21"/>
    </row>
    <row r="510" spans="2:7" s="32" customFormat="1" x14ac:dyDescent="0.25">
      <c r="B510" s="39"/>
      <c r="D510" s="59"/>
      <c r="E510" s="68"/>
      <c r="F510" s="95"/>
      <c r="G510" s="21"/>
    </row>
    <row r="511" spans="2:7" s="32" customFormat="1" x14ac:dyDescent="0.25">
      <c r="B511" s="39"/>
      <c r="D511" s="59"/>
      <c r="E511" s="68"/>
      <c r="F511" s="95"/>
      <c r="G511" s="21"/>
    </row>
    <row r="512" spans="2:7" s="32" customFormat="1" x14ac:dyDescent="0.25">
      <c r="B512" s="39"/>
      <c r="D512" s="59"/>
      <c r="E512" s="68"/>
      <c r="F512" s="95"/>
      <c r="G512" s="21"/>
    </row>
    <row r="513" spans="2:7" s="32" customFormat="1" x14ac:dyDescent="0.25">
      <c r="B513" s="39"/>
      <c r="D513" s="59"/>
      <c r="E513" s="68"/>
      <c r="F513" s="95"/>
      <c r="G513" s="21"/>
    </row>
    <row r="514" spans="2:7" s="32" customFormat="1" x14ac:dyDescent="0.25">
      <c r="B514" s="39"/>
      <c r="D514" s="59"/>
      <c r="E514" s="68"/>
      <c r="F514" s="95"/>
      <c r="G514" s="21"/>
    </row>
    <row r="515" spans="2:7" s="32" customFormat="1" x14ac:dyDescent="0.25">
      <c r="B515" s="39"/>
      <c r="D515" s="59"/>
      <c r="E515" s="68"/>
      <c r="F515" s="95"/>
      <c r="G515" s="21"/>
    </row>
    <row r="516" spans="2:7" s="32" customFormat="1" x14ac:dyDescent="0.25">
      <c r="B516" s="39"/>
      <c r="D516" s="59"/>
      <c r="E516" s="68"/>
      <c r="F516" s="95"/>
      <c r="G516" s="21"/>
    </row>
    <row r="517" spans="2:7" s="32" customFormat="1" x14ac:dyDescent="0.25">
      <c r="B517" s="39"/>
      <c r="D517" s="59"/>
      <c r="E517" s="68"/>
      <c r="F517" s="95"/>
      <c r="G517" s="21"/>
    </row>
    <row r="518" spans="2:7" s="32" customFormat="1" x14ac:dyDescent="0.25">
      <c r="B518" s="39"/>
      <c r="D518" s="59"/>
      <c r="E518" s="68"/>
      <c r="F518" s="95"/>
      <c r="G518" s="21"/>
    </row>
    <row r="519" spans="2:7" s="32" customFormat="1" x14ac:dyDescent="0.25">
      <c r="B519" s="39"/>
      <c r="D519" s="59"/>
      <c r="E519" s="68"/>
      <c r="F519" s="95"/>
      <c r="G519" s="21"/>
    </row>
    <row r="520" spans="2:7" s="32" customFormat="1" x14ac:dyDescent="0.25">
      <c r="B520" s="39"/>
      <c r="D520" s="59"/>
      <c r="E520" s="68"/>
      <c r="F520" s="95"/>
      <c r="G520" s="21"/>
    </row>
    <row r="521" spans="2:7" s="32" customFormat="1" x14ac:dyDescent="0.25">
      <c r="B521" s="39"/>
      <c r="D521" s="59"/>
      <c r="E521" s="68"/>
      <c r="F521" s="95"/>
      <c r="G521" s="21"/>
    </row>
    <row r="522" spans="2:7" s="32" customFormat="1" x14ac:dyDescent="0.25">
      <c r="B522" s="39"/>
      <c r="D522" s="59"/>
      <c r="E522" s="68"/>
      <c r="F522" s="95"/>
      <c r="G522" s="21"/>
    </row>
    <row r="523" spans="2:7" s="32" customFormat="1" x14ac:dyDescent="0.25">
      <c r="B523" s="39"/>
      <c r="D523" s="59"/>
      <c r="E523" s="68"/>
      <c r="F523" s="95"/>
      <c r="G523" s="21"/>
    </row>
    <row r="524" spans="2:7" s="32" customFormat="1" x14ac:dyDescent="0.25">
      <c r="B524" s="39"/>
      <c r="D524" s="59"/>
      <c r="E524" s="68"/>
      <c r="F524" s="95"/>
      <c r="G524" s="21"/>
    </row>
    <row r="525" spans="2:7" s="32" customFormat="1" x14ac:dyDescent="0.25">
      <c r="B525" s="39"/>
      <c r="D525" s="59"/>
      <c r="E525" s="68"/>
      <c r="F525" s="95"/>
      <c r="G525" s="21"/>
    </row>
    <row r="526" spans="2:7" s="32" customFormat="1" x14ac:dyDescent="0.25">
      <c r="B526" s="39"/>
      <c r="D526" s="59"/>
      <c r="E526" s="68"/>
      <c r="F526" s="95"/>
      <c r="G526" s="21"/>
    </row>
    <row r="527" spans="2:7" s="32" customFormat="1" x14ac:dyDescent="0.25">
      <c r="B527" s="39"/>
      <c r="D527" s="59"/>
      <c r="E527" s="68"/>
      <c r="F527" s="95"/>
      <c r="G527" s="21"/>
    </row>
    <row r="528" spans="2:7" s="32" customFormat="1" x14ac:dyDescent="0.25">
      <c r="B528" s="39"/>
      <c r="D528" s="59"/>
      <c r="E528" s="68"/>
      <c r="F528" s="95"/>
      <c r="G528" s="21"/>
    </row>
    <row r="529" spans="2:7" s="32" customFormat="1" x14ac:dyDescent="0.25">
      <c r="B529" s="39"/>
      <c r="D529" s="59"/>
      <c r="E529" s="68"/>
      <c r="F529" s="95"/>
      <c r="G529" s="21"/>
    </row>
    <row r="530" spans="2:7" s="32" customFormat="1" x14ac:dyDescent="0.25">
      <c r="B530" s="39"/>
      <c r="D530" s="59"/>
      <c r="E530" s="68"/>
      <c r="F530" s="95"/>
      <c r="G530" s="21"/>
    </row>
    <row r="531" spans="2:7" s="32" customFormat="1" x14ac:dyDescent="0.25">
      <c r="B531" s="39"/>
      <c r="D531" s="59"/>
      <c r="E531" s="68"/>
      <c r="F531" s="95"/>
      <c r="G531" s="21"/>
    </row>
    <row r="532" spans="2:7" s="32" customFormat="1" x14ac:dyDescent="0.25">
      <c r="B532" s="39"/>
      <c r="D532" s="59"/>
      <c r="E532" s="68"/>
      <c r="F532" s="95"/>
      <c r="G532" s="21"/>
    </row>
    <row r="533" spans="2:7" s="32" customFormat="1" x14ac:dyDescent="0.25">
      <c r="B533" s="39"/>
      <c r="D533" s="59"/>
      <c r="E533" s="68"/>
      <c r="F533" s="95"/>
      <c r="G533" s="21"/>
    </row>
    <row r="534" spans="2:7" s="32" customFormat="1" x14ac:dyDescent="0.25">
      <c r="B534" s="39"/>
      <c r="D534" s="59"/>
      <c r="E534" s="68"/>
      <c r="F534" s="95"/>
      <c r="G534" s="21"/>
    </row>
    <row r="535" spans="2:7" s="32" customFormat="1" x14ac:dyDescent="0.25">
      <c r="B535" s="39"/>
      <c r="D535" s="59"/>
      <c r="E535" s="68"/>
      <c r="F535" s="95"/>
      <c r="G535" s="21"/>
    </row>
    <row r="536" spans="2:7" s="32" customFormat="1" x14ac:dyDescent="0.25">
      <c r="B536" s="39"/>
      <c r="D536" s="59"/>
      <c r="E536" s="68"/>
      <c r="F536" s="95"/>
      <c r="G536" s="21"/>
    </row>
    <row r="537" spans="2:7" s="32" customFormat="1" x14ac:dyDescent="0.25">
      <c r="B537" s="39"/>
      <c r="D537" s="59"/>
      <c r="E537" s="68"/>
      <c r="F537" s="95"/>
      <c r="G537" s="21"/>
    </row>
    <row r="538" spans="2:7" s="32" customFormat="1" x14ac:dyDescent="0.25">
      <c r="B538" s="39"/>
      <c r="D538" s="59"/>
      <c r="E538" s="68"/>
      <c r="F538" s="95"/>
      <c r="G538" s="21"/>
    </row>
    <row r="539" spans="2:7" s="32" customFormat="1" x14ac:dyDescent="0.25">
      <c r="B539" s="39"/>
      <c r="D539" s="59"/>
      <c r="E539" s="68"/>
      <c r="F539" s="95"/>
      <c r="G539" s="21"/>
    </row>
    <row r="540" spans="2:7" s="32" customFormat="1" x14ac:dyDescent="0.25">
      <c r="B540" s="39"/>
      <c r="D540" s="59"/>
      <c r="E540" s="68"/>
      <c r="F540" s="95"/>
      <c r="G540" s="21"/>
    </row>
    <row r="541" spans="2:7" s="32" customFormat="1" x14ac:dyDescent="0.25">
      <c r="B541" s="39"/>
      <c r="D541" s="59"/>
      <c r="E541" s="68"/>
      <c r="F541" s="95"/>
      <c r="G541" s="21"/>
    </row>
    <row r="542" spans="2:7" s="32" customFormat="1" x14ac:dyDescent="0.25">
      <c r="B542" s="39"/>
      <c r="D542" s="59"/>
      <c r="E542" s="68"/>
      <c r="F542" s="95"/>
      <c r="G542" s="21"/>
    </row>
    <row r="543" spans="2:7" s="32" customFormat="1" x14ac:dyDescent="0.25">
      <c r="B543" s="39"/>
      <c r="D543" s="59"/>
      <c r="E543" s="68"/>
      <c r="F543" s="95"/>
      <c r="G543" s="21"/>
    </row>
    <row r="544" spans="2:7" s="32" customFormat="1" x14ac:dyDescent="0.25">
      <c r="B544" s="39"/>
      <c r="D544" s="59"/>
      <c r="E544" s="68"/>
      <c r="F544" s="95"/>
      <c r="G544" s="21"/>
    </row>
    <row r="545" spans="2:7" s="32" customFormat="1" x14ac:dyDescent="0.25">
      <c r="B545" s="39"/>
      <c r="D545" s="59"/>
      <c r="E545" s="68"/>
      <c r="F545" s="95"/>
      <c r="G545" s="21"/>
    </row>
    <row r="546" spans="2:7" s="32" customFormat="1" x14ac:dyDescent="0.25">
      <c r="B546" s="39"/>
      <c r="D546" s="59"/>
      <c r="E546" s="68"/>
      <c r="F546" s="95"/>
      <c r="G546" s="21"/>
    </row>
    <row r="547" spans="2:7" s="32" customFormat="1" x14ac:dyDescent="0.25">
      <c r="B547" s="39"/>
      <c r="D547" s="59"/>
      <c r="E547" s="68"/>
      <c r="F547" s="95"/>
      <c r="G547" s="21"/>
    </row>
    <row r="548" spans="2:7" s="32" customFormat="1" x14ac:dyDescent="0.25">
      <c r="B548" s="39"/>
      <c r="D548" s="59"/>
      <c r="E548" s="68"/>
      <c r="F548" s="95"/>
      <c r="G548" s="21"/>
    </row>
    <row r="549" spans="2:7" s="32" customFormat="1" x14ac:dyDescent="0.25">
      <c r="B549" s="39"/>
      <c r="D549" s="59"/>
      <c r="E549" s="68"/>
      <c r="F549" s="95"/>
      <c r="G549" s="21"/>
    </row>
    <row r="550" spans="2:7" s="32" customFormat="1" x14ac:dyDescent="0.25">
      <c r="B550" s="39"/>
      <c r="D550" s="59"/>
      <c r="E550" s="68"/>
      <c r="F550" s="95"/>
      <c r="G550" s="21"/>
    </row>
    <row r="551" spans="2:7" s="32" customFormat="1" x14ac:dyDescent="0.25">
      <c r="B551" s="39"/>
      <c r="D551" s="59"/>
      <c r="E551" s="68"/>
      <c r="F551" s="95"/>
      <c r="G551" s="21"/>
    </row>
    <row r="552" spans="2:7" s="32" customFormat="1" x14ac:dyDescent="0.25">
      <c r="B552" s="39"/>
      <c r="D552" s="59"/>
      <c r="E552" s="68"/>
      <c r="F552" s="95"/>
      <c r="G552" s="21"/>
    </row>
    <row r="553" spans="2:7" s="32" customFormat="1" x14ac:dyDescent="0.25">
      <c r="B553" s="39"/>
      <c r="D553" s="59"/>
      <c r="E553" s="68"/>
      <c r="F553" s="95"/>
      <c r="G553" s="21"/>
    </row>
    <row r="554" spans="2:7" s="32" customFormat="1" x14ac:dyDescent="0.25">
      <c r="B554" s="39"/>
      <c r="D554" s="59"/>
      <c r="E554" s="68"/>
      <c r="F554" s="95"/>
      <c r="G554" s="21"/>
    </row>
    <row r="555" spans="2:7" s="32" customFormat="1" x14ac:dyDescent="0.25">
      <c r="B555" s="39"/>
      <c r="D555" s="59"/>
      <c r="E555" s="68"/>
      <c r="F555" s="95"/>
      <c r="G555" s="21"/>
    </row>
    <row r="556" spans="2:7" s="32" customFormat="1" x14ac:dyDescent="0.25">
      <c r="B556" s="39"/>
      <c r="D556" s="59"/>
      <c r="E556" s="68"/>
      <c r="F556" s="95"/>
      <c r="G556" s="21"/>
    </row>
    <row r="557" spans="2:7" s="32" customFormat="1" x14ac:dyDescent="0.25">
      <c r="B557" s="39"/>
      <c r="D557" s="59"/>
      <c r="E557" s="68"/>
      <c r="F557" s="95"/>
      <c r="G557" s="21"/>
    </row>
    <row r="558" spans="2:7" s="32" customFormat="1" x14ac:dyDescent="0.25">
      <c r="B558" s="39"/>
      <c r="D558" s="59"/>
      <c r="E558" s="68"/>
      <c r="F558" s="95"/>
      <c r="G558" s="21"/>
    </row>
    <row r="559" spans="2:7" s="32" customFormat="1" x14ac:dyDescent="0.25">
      <c r="B559" s="39"/>
      <c r="D559" s="59"/>
      <c r="E559" s="68"/>
      <c r="F559" s="95"/>
      <c r="G559" s="21"/>
    </row>
    <row r="560" spans="2:7" s="32" customFormat="1" x14ac:dyDescent="0.25">
      <c r="B560" s="39"/>
      <c r="D560" s="59"/>
      <c r="E560" s="68"/>
      <c r="F560" s="95"/>
      <c r="G560" s="21"/>
    </row>
    <row r="561" spans="2:7" s="32" customFormat="1" x14ac:dyDescent="0.25">
      <c r="B561" s="39"/>
      <c r="D561" s="59"/>
      <c r="E561" s="68"/>
      <c r="F561" s="95"/>
      <c r="G561" s="21"/>
    </row>
    <row r="562" spans="2:7" s="32" customFormat="1" x14ac:dyDescent="0.25">
      <c r="B562" s="39"/>
      <c r="D562" s="59"/>
      <c r="E562" s="68"/>
      <c r="F562" s="95"/>
      <c r="G562" s="21"/>
    </row>
    <row r="563" spans="2:7" s="32" customFormat="1" x14ac:dyDescent="0.25">
      <c r="B563" s="39"/>
      <c r="D563" s="59"/>
      <c r="E563" s="68"/>
      <c r="F563" s="95"/>
      <c r="G563" s="21"/>
    </row>
    <row r="564" spans="2:7" s="32" customFormat="1" x14ac:dyDescent="0.25">
      <c r="B564" s="39"/>
      <c r="D564" s="59"/>
      <c r="E564" s="68"/>
      <c r="F564" s="95"/>
      <c r="G564" s="21"/>
    </row>
    <row r="565" spans="2:7" s="32" customFormat="1" x14ac:dyDescent="0.25">
      <c r="B565" s="39"/>
      <c r="D565" s="59"/>
      <c r="E565" s="68"/>
      <c r="F565" s="95"/>
      <c r="G565" s="21"/>
    </row>
    <row r="566" spans="2:7" s="32" customFormat="1" x14ac:dyDescent="0.25">
      <c r="B566" s="39"/>
      <c r="D566" s="59"/>
      <c r="E566" s="68"/>
      <c r="F566" s="95"/>
      <c r="G566" s="21"/>
    </row>
    <row r="567" spans="2:7" s="32" customFormat="1" x14ac:dyDescent="0.25">
      <c r="B567" s="39"/>
      <c r="D567" s="59"/>
      <c r="E567" s="68"/>
      <c r="F567" s="95"/>
      <c r="G567" s="21"/>
    </row>
    <row r="568" spans="2:7" s="32" customFormat="1" x14ac:dyDescent="0.25">
      <c r="B568" s="39"/>
      <c r="D568" s="59"/>
      <c r="E568" s="68"/>
      <c r="F568" s="95"/>
      <c r="G568" s="21"/>
    </row>
    <row r="569" spans="2:7" s="32" customFormat="1" x14ac:dyDescent="0.25">
      <c r="B569" s="39"/>
      <c r="D569" s="59"/>
      <c r="E569" s="68"/>
      <c r="F569" s="95"/>
      <c r="G569" s="21"/>
    </row>
    <row r="570" spans="2:7" s="32" customFormat="1" x14ac:dyDescent="0.25">
      <c r="B570" s="39"/>
      <c r="D570" s="59"/>
      <c r="E570" s="68"/>
      <c r="F570" s="95"/>
      <c r="G570" s="21"/>
    </row>
    <row r="571" spans="2:7" s="32" customFormat="1" x14ac:dyDescent="0.25">
      <c r="B571" s="39"/>
      <c r="D571" s="59"/>
      <c r="E571" s="68"/>
      <c r="F571" s="95"/>
      <c r="G571" s="21"/>
    </row>
    <row r="572" spans="2:7" s="32" customFormat="1" x14ac:dyDescent="0.25">
      <c r="B572" s="39"/>
      <c r="D572" s="59"/>
      <c r="E572" s="68"/>
      <c r="F572" s="95"/>
      <c r="G572" s="21"/>
    </row>
    <row r="573" spans="2:7" s="32" customFormat="1" x14ac:dyDescent="0.25">
      <c r="B573" s="39"/>
      <c r="D573" s="59"/>
      <c r="E573" s="68"/>
      <c r="F573" s="95"/>
      <c r="G573" s="21"/>
    </row>
    <row r="574" spans="2:7" s="32" customFormat="1" x14ac:dyDescent="0.25">
      <c r="B574" s="39"/>
      <c r="D574" s="59"/>
      <c r="E574" s="68"/>
      <c r="F574" s="95"/>
      <c r="G574" s="21"/>
    </row>
    <row r="575" spans="2:7" s="32" customFormat="1" x14ac:dyDescent="0.25">
      <c r="B575" s="39"/>
      <c r="D575" s="59"/>
      <c r="E575" s="68"/>
      <c r="F575" s="95"/>
      <c r="G575" s="21"/>
    </row>
    <row r="576" spans="2:7" s="32" customFormat="1" x14ac:dyDescent="0.25">
      <c r="B576" s="39"/>
      <c r="D576" s="59"/>
      <c r="E576" s="68"/>
      <c r="F576" s="95"/>
      <c r="G576" s="21"/>
    </row>
    <row r="577" spans="2:7" s="32" customFormat="1" x14ac:dyDescent="0.25">
      <c r="B577" s="39"/>
      <c r="D577" s="59"/>
      <c r="E577" s="68"/>
      <c r="F577" s="95"/>
      <c r="G577" s="21"/>
    </row>
    <row r="578" spans="2:7" s="32" customFormat="1" x14ac:dyDescent="0.25">
      <c r="B578" s="39"/>
      <c r="D578" s="59"/>
      <c r="E578" s="68"/>
      <c r="F578" s="95"/>
      <c r="G578" s="21"/>
    </row>
    <row r="579" spans="2:7" s="32" customFormat="1" x14ac:dyDescent="0.25">
      <c r="B579" s="39"/>
      <c r="D579" s="59"/>
      <c r="E579" s="68"/>
      <c r="F579" s="95"/>
      <c r="G579" s="21"/>
    </row>
    <row r="580" spans="2:7" s="32" customFormat="1" x14ac:dyDescent="0.25">
      <c r="B580" s="39"/>
      <c r="D580" s="59"/>
      <c r="E580" s="68"/>
      <c r="F580" s="95"/>
      <c r="G580" s="21"/>
    </row>
    <row r="581" spans="2:7" s="32" customFormat="1" x14ac:dyDescent="0.25">
      <c r="B581" s="39"/>
      <c r="D581" s="59"/>
      <c r="E581" s="68"/>
      <c r="F581" s="95"/>
      <c r="G581" s="21"/>
    </row>
    <row r="582" spans="2:7" s="32" customFormat="1" x14ac:dyDescent="0.25">
      <c r="B582" s="39"/>
      <c r="D582" s="59"/>
      <c r="E582" s="68"/>
      <c r="F582" s="95"/>
      <c r="G582" s="21"/>
    </row>
    <row r="583" spans="2:7" s="32" customFormat="1" x14ac:dyDescent="0.25">
      <c r="B583" s="39"/>
      <c r="D583" s="59"/>
      <c r="E583" s="68"/>
      <c r="F583" s="95"/>
      <c r="G583" s="21"/>
    </row>
    <row r="584" spans="2:7" s="32" customFormat="1" x14ac:dyDescent="0.25">
      <c r="B584" s="39"/>
      <c r="D584" s="59"/>
      <c r="E584" s="68"/>
      <c r="F584" s="95"/>
      <c r="G584" s="21"/>
    </row>
    <row r="585" spans="2:7" s="32" customFormat="1" x14ac:dyDescent="0.25">
      <c r="B585" s="39"/>
      <c r="D585" s="59"/>
      <c r="E585" s="68"/>
      <c r="F585" s="95"/>
      <c r="G585" s="21"/>
    </row>
    <row r="586" spans="2:7" s="32" customFormat="1" x14ac:dyDescent="0.25">
      <c r="B586" s="39"/>
      <c r="D586" s="59"/>
      <c r="E586" s="68"/>
      <c r="F586" s="95"/>
      <c r="G586" s="21"/>
    </row>
    <row r="587" spans="2:7" s="32" customFormat="1" x14ac:dyDescent="0.25">
      <c r="B587" s="39"/>
      <c r="D587" s="59"/>
      <c r="E587" s="68"/>
      <c r="F587" s="95"/>
      <c r="G587" s="21"/>
    </row>
    <row r="588" spans="2:7" s="32" customFormat="1" x14ac:dyDescent="0.25">
      <c r="B588" s="39"/>
      <c r="D588" s="59"/>
      <c r="E588" s="68"/>
      <c r="F588" s="95"/>
      <c r="G588" s="21"/>
    </row>
    <row r="589" spans="2:7" s="32" customFormat="1" x14ac:dyDescent="0.25">
      <c r="B589" s="39"/>
      <c r="D589" s="59"/>
      <c r="E589" s="68"/>
      <c r="F589" s="95"/>
      <c r="G589" s="21"/>
    </row>
    <row r="590" spans="2:7" s="32" customFormat="1" x14ac:dyDescent="0.25">
      <c r="B590" s="39"/>
      <c r="D590" s="59"/>
      <c r="E590" s="68"/>
      <c r="F590" s="95"/>
      <c r="G590" s="21"/>
    </row>
    <row r="591" spans="2:7" s="32" customFormat="1" x14ac:dyDescent="0.25">
      <c r="B591" s="39"/>
      <c r="D591" s="59"/>
      <c r="E591" s="68"/>
      <c r="F591" s="95"/>
      <c r="G591" s="21"/>
    </row>
    <row r="592" spans="2:7" s="32" customFormat="1" x14ac:dyDescent="0.25">
      <c r="B592" s="39"/>
      <c r="D592" s="59"/>
      <c r="E592" s="68"/>
      <c r="F592" s="95"/>
      <c r="G592" s="21"/>
    </row>
    <row r="593" spans="2:7" s="32" customFormat="1" x14ac:dyDescent="0.25">
      <c r="B593" s="39"/>
      <c r="D593" s="59"/>
      <c r="E593" s="68"/>
      <c r="F593" s="95"/>
      <c r="G593" s="21"/>
    </row>
    <row r="594" spans="2:7" s="32" customFormat="1" x14ac:dyDescent="0.25">
      <c r="B594" s="39"/>
      <c r="D594" s="59"/>
      <c r="E594" s="68"/>
      <c r="F594" s="95"/>
      <c r="G594" s="21"/>
    </row>
    <row r="595" spans="2:7" s="32" customFormat="1" x14ac:dyDescent="0.25">
      <c r="B595" s="39"/>
      <c r="D595" s="59"/>
      <c r="E595" s="68"/>
      <c r="F595" s="95"/>
      <c r="G595" s="21"/>
    </row>
    <row r="596" spans="2:7" s="32" customFormat="1" x14ac:dyDescent="0.25">
      <c r="B596" s="39"/>
      <c r="D596" s="59"/>
      <c r="E596" s="68"/>
      <c r="F596" s="95"/>
      <c r="G596" s="21"/>
    </row>
    <row r="597" spans="2:7" s="32" customFormat="1" x14ac:dyDescent="0.25">
      <c r="B597" s="39"/>
      <c r="D597" s="59"/>
      <c r="E597" s="68"/>
      <c r="F597" s="95"/>
      <c r="G597" s="21"/>
    </row>
    <row r="598" spans="2:7" s="32" customFormat="1" x14ac:dyDescent="0.25">
      <c r="B598" s="39"/>
      <c r="D598" s="59"/>
      <c r="E598" s="68"/>
      <c r="F598" s="95"/>
      <c r="G598" s="21"/>
    </row>
    <row r="599" spans="2:7" s="32" customFormat="1" x14ac:dyDescent="0.25">
      <c r="B599" s="39"/>
      <c r="D599" s="59"/>
      <c r="E599" s="68"/>
      <c r="F599" s="95"/>
      <c r="G599" s="21"/>
    </row>
    <row r="600" spans="2:7" s="32" customFormat="1" x14ac:dyDescent="0.25">
      <c r="B600" s="39"/>
      <c r="D600" s="59"/>
      <c r="E600" s="68"/>
      <c r="F600" s="95"/>
      <c r="G600" s="21"/>
    </row>
    <row r="601" spans="2:7" s="32" customFormat="1" x14ac:dyDescent="0.25">
      <c r="B601" s="39"/>
      <c r="D601" s="59"/>
      <c r="E601" s="68"/>
      <c r="F601" s="95"/>
      <c r="G601" s="21"/>
    </row>
    <row r="602" spans="2:7" s="32" customFormat="1" x14ac:dyDescent="0.25">
      <c r="B602" s="39"/>
      <c r="D602" s="59"/>
      <c r="E602" s="68"/>
      <c r="F602" s="95"/>
      <c r="G602" s="21"/>
    </row>
    <row r="603" spans="2:7" s="32" customFormat="1" x14ac:dyDescent="0.25">
      <c r="B603" s="39"/>
      <c r="D603" s="59"/>
      <c r="E603" s="68"/>
      <c r="F603" s="95"/>
      <c r="G603" s="21"/>
    </row>
    <row r="604" spans="2:7" s="32" customFormat="1" x14ac:dyDescent="0.25">
      <c r="B604" s="39"/>
      <c r="D604" s="59"/>
      <c r="E604" s="68"/>
      <c r="F604" s="95"/>
      <c r="G604" s="21"/>
    </row>
    <row r="605" spans="2:7" s="32" customFormat="1" x14ac:dyDescent="0.25">
      <c r="B605" s="39"/>
      <c r="D605" s="59"/>
      <c r="E605" s="68"/>
      <c r="F605" s="95"/>
      <c r="G605" s="21"/>
    </row>
    <row r="606" spans="2:7" s="32" customFormat="1" x14ac:dyDescent="0.25">
      <c r="B606" s="39"/>
      <c r="D606" s="59"/>
      <c r="E606" s="68"/>
      <c r="F606" s="95"/>
      <c r="G606" s="21"/>
    </row>
    <row r="607" spans="2:7" s="32" customFormat="1" x14ac:dyDescent="0.25">
      <c r="B607" s="39"/>
      <c r="D607" s="59"/>
      <c r="E607" s="68"/>
      <c r="F607" s="95"/>
      <c r="G607" s="21"/>
    </row>
    <row r="608" spans="2:7" s="32" customFormat="1" x14ac:dyDescent="0.25">
      <c r="B608" s="39"/>
      <c r="D608" s="59"/>
      <c r="E608" s="68"/>
      <c r="F608" s="95"/>
      <c r="G608" s="21"/>
    </row>
    <row r="609" spans="2:7" s="32" customFormat="1" x14ac:dyDescent="0.25">
      <c r="B609" s="39"/>
      <c r="D609" s="59"/>
      <c r="E609" s="68"/>
      <c r="F609" s="95"/>
      <c r="G609" s="21"/>
    </row>
    <row r="610" spans="2:7" s="32" customFormat="1" x14ac:dyDescent="0.25">
      <c r="B610" s="39"/>
      <c r="D610" s="59"/>
      <c r="E610" s="68"/>
      <c r="F610" s="95"/>
      <c r="G610" s="21"/>
    </row>
    <row r="611" spans="2:7" s="32" customFormat="1" x14ac:dyDescent="0.25">
      <c r="B611" s="39"/>
      <c r="D611" s="59"/>
      <c r="E611" s="68"/>
      <c r="F611" s="95"/>
      <c r="G611" s="21"/>
    </row>
    <row r="612" spans="2:7" s="32" customFormat="1" x14ac:dyDescent="0.25">
      <c r="B612" s="39"/>
      <c r="D612" s="59"/>
      <c r="E612" s="68"/>
      <c r="F612" s="95"/>
      <c r="G612" s="21"/>
    </row>
    <row r="613" spans="2:7" s="32" customFormat="1" x14ac:dyDescent="0.25">
      <c r="B613" s="39"/>
      <c r="D613" s="59"/>
      <c r="E613" s="68"/>
      <c r="F613" s="95"/>
      <c r="G613" s="21"/>
    </row>
    <row r="614" spans="2:7" s="32" customFormat="1" x14ac:dyDescent="0.25">
      <c r="B614" s="39"/>
      <c r="D614" s="59"/>
      <c r="E614" s="68"/>
      <c r="F614" s="95"/>
      <c r="G614" s="21"/>
    </row>
    <row r="615" spans="2:7" s="32" customFormat="1" x14ac:dyDescent="0.25">
      <c r="B615" s="39"/>
      <c r="D615" s="59"/>
      <c r="E615" s="68"/>
      <c r="F615" s="95"/>
      <c r="G615" s="21"/>
    </row>
    <row r="616" spans="2:7" s="32" customFormat="1" x14ac:dyDescent="0.25">
      <c r="B616" s="39"/>
      <c r="D616" s="59"/>
      <c r="E616" s="68"/>
      <c r="F616" s="95"/>
      <c r="G616" s="21"/>
    </row>
    <row r="617" spans="2:7" s="32" customFormat="1" x14ac:dyDescent="0.25">
      <c r="B617" s="39"/>
      <c r="D617" s="59"/>
      <c r="E617" s="68"/>
      <c r="F617" s="95"/>
      <c r="G617" s="21"/>
    </row>
    <row r="618" spans="2:7" s="32" customFormat="1" x14ac:dyDescent="0.25">
      <c r="B618" s="39"/>
      <c r="D618" s="59"/>
      <c r="E618" s="68"/>
      <c r="F618" s="95"/>
      <c r="G618" s="21"/>
    </row>
    <row r="619" spans="2:7" s="32" customFormat="1" x14ac:dyDescent="0.25">
      <c r="B619" s="39"/>
      <c r="D619" s="59"/>
      <c r="E619" s="68"/>
      <c r="F619" s="95"/>
      <c r="G619" s="21"/>
    </row>
    <row r="620" spans="2:7" s="32" customFormat="1" x14ac:dyDescent="0.25">
      <c r="B620" s="39"/>
      <c r="D620" s="59"/>
      <c r="E620" s="68"/>
      <c r="F620" s="95"/>
      <c r="G620" s="21"/>
    </row>
    <row r="621" spans="2:7" s="32" customFormat="1" x14ac:dyDescent="0.25">
      <c r="B621" s="39"/>
      <c r="D621" s="59"/>
      <c r="E621" s="68"/>
      <c r="F621" s="95"/>
      <c r="G621" s="21"/>
    </row>
    <row r="622" spans="2:7" s="32" customFormat="1" x14ac:dyDescent="0.25">
      <c r="B622" s="39"/>
      <c r="D622" s="59"/>
      <c r="E622" s="68"/>
      <c r="F622" s="95"/>
      <c r="G622" s="21"/>
    </row>
    <row r="623" spans="2:7" s="32" customFormat="1" x14ac:dyDescent="0.25">
      <c r="B623" s="39"/>
      <c r="D623" s="59"/>
      <c r="E623" s="68"/>
      <c r="F623" s="95"/>
      <c r="G623" s="21"/>
    </row>
    <row r="624" spans="2:7" s="32" customFormat="1" x14ac:dyDescent="0.25">
      <c r="B624" s="39"/>
      <c r="D624" s="59"/>
      <c r="E624" s="68"/>
      <c r="F624" s="95"/>
      <c r="G624" s="21"/>
    </row>
    <row r="625" spans="2:7" s="32" customFormat="1" x14ac:dyDescent="0.25">
      <c r="B625" s="39"/>
      <c r="D625" s="59"/>
      <c r="E625" s="68"/>
      <c r="F625" s="95"/>
      <c r="G625" s="21"/>
    </row>
    <row r="626" spans="2:7" s="32" customFormat="1" x14ac:dyDescent="0.25">
      <c r="B626" s="39"/>
      <c r="D626" s="59"/>
      <c r="E626" s="68"/>
      <c r="F626" s="95"/>
      <c r="G626" s="21"/>
    </row>
    <row r="627" spans="2:7" s="32" customFormat="1" x14ac:dyDescent="0.25">
      <c r="B627" s="39"/>
      <c r="D627" s="59"/>
      <c r="E627" s="68"/>
      <c r="F627" s="95"/>
      <c r="G627" s="21"/>
    </row>
    <row r="628" spans="2:7" s="32" customFormat="1" x14ac:dyDescent="0.25">
      <c r="B628" s="39"/>
      <c r="D628" s="59"/>
      <c r="E628" s="68"/>
      <c r="F628" s="95"/>
      <c r="G628" s="21"/>
    </row>
    <row r="629" spans="2:7" s="32" customFormat="1" x14ac:dyDescent="0.25">
      <c r="B629" s="39"/>
      <c r="D629" s="59"/>
      <c r="E629" s="68"/>
      <c r="F629" s="95"/>
      <c r="G629" s="21"/>
    </row>
    <row r="630" spans="2:7" s="32" customFormat="1" x14ac:dyDescent="0.25">
      <c r="B630" s="39"/>
      <c r="D630" s="59"/>
      <c r="E630" s="68"/>
      <c r="F630" s="95"/>
      <c r="G630" s="21"/>
    </row>
    <row r="631" spans="2:7" s="32" customFormat="1" x14ac:dyDescent="0.25">
      <c r="B631" s="39"/>
      <c r="D631" s="59"/>
      <c r="E631" s="68"/>
      <c r="F631" s="95"/>
      <c r="G631" s="21"/>
    </row>
    <row r="632" spans="2:7" s="32" customFormat="1" x14ac:dyDescent="0.25">
      <c r="B632" s="39"/>
      <c r="D632" s="59"/>
      <c r="E632" s="68"/>
      <c r="F632" s="95"/>
      <c r="G632" s="21"/>
    </row>
    <row r="633" spans="2:7" s="32" customFormat="1" x14ac:dyDescent="0.25">
      <c r="B633" s="39"/>
      <c r="D633" s="59"/>
      <c r="E633" s="68"/>
      <c r="F633" s="95"/>
      <c r="G633" s="21"/>
    </row>
    <row r="634" spans="2:7" s="32" customFormat="1" x14ac:dyDescent="0.25">
      <c r="B634" s="39"/>
      <c r="D634" s="59"/>
      <c r="E634" s="68"/>
      <c r="F634" s="95"/>
      <c r="G634" s="21"/>
    </row>
    <row r="635" spans="2:7" s="32" customFormat="1" x14ac:dyDescent="0.25">
      <c r="B635" s="39"/>
      <c r="D635" s="59"/>
      <c r="E635" s="68"/>
      <c r="F635" s="95"/>
      <c r="G635" s="21"/>
    </row>
    <row r="636" spans="2:7" s="32" customFormat="1" x14ac:dyDescent="0.25">
      <c r="B636" s="39"/>
      <c r="D636" s="59"/>
      <c r="E636" s="68"/>
      <c r="F636" s="95"/>
      <c r="G636" s="21"/>
    </row>
    <row r="637" spans="2:7" s="32" customFormat="1" x14ac:dyDescent="0.25">
      <c r="B637" s="39"/>
      <c r="D637" s="59"/>
      <c r="E637" s="68"/>
      <c r="F637" s="95"/>
      <c r="G637" s="21"/>
    </row>
    <row r="638" spans="2:7" s="32" customFormat="1" x14ac:dyDescent="0.25">
      <c r="B638" s="39"/>
      <c r="D638" s="59"/>
      <c r="E638" s="68"/>
      <c r="F638" s="95"/>
      <c r="G638" s="21"/>
    </row>
    <row r="639" spans="2:7" s="32" customFormat="1" x14ac:dyDescent="0.25">
      <c r="B639" s="39"/>
      <c r="D639" s="59"/>
      <c r="E639" s="68"/>
      <c r="F639" s="95"/>
      <c r="G639" s="21"/>
    </row>
    <row r="640" spans="2:7" s="32" customFormat="1" x14ac:dyDescent="0.25">
      <c r="B640" s="39"/>
      <c r="D640" s="59"/>
      <c r="E640" s="68"/>
      <c r="F640" s="95"/>
      <c r="G640" s="21"/>
    </row>
    <row r="641" spans="2:7" s="32" customFormat="1" x14ac:dyDescent="0.25">
      <c r="B641" s="39"/>
      <c r="D641" s="59"/>
      <c r="E641" s="68"/>
      <c r="F641" s="95"/>
      <c r="G641" s="21"/>
    </row>
    <row r="642" spans="2:7" s="32" customFormat="1" x14ac:dyDescent="0.25">
      <c r="B642" s="39"/>
      <c r="D642" s="59"/>
      <c r="E642" s="68"/>
      <c r="F642" s="95"/>
      <c r="G642" s="21"/>
    </row>
    <row r="643" spans="2:7" s="32" customFormat="1" x14ac:dyDescent="0.25">
      <c r="B643" s="39"/>
      <c r="D643" s="59"/>
      <c r="E643" s="68"/>
      <c r="F643" s="95"/>
      <c r="G643" s="21"/>
    </row>
    <row r="644" spans="2:7" s="32" customFormat="1" x14ac:dyDescent="0.25">
      <c r="B644" s="39"/>
      <c r="D644" s="59"/>
      <c r="E644" s="68"/>
      <c r="F644" s="95"/>
      <c r="G644" s="21"/>
    </row>
    <row r="645" spans="2:7" s="32" customFormat="1" x14ac:dyDescent="0.25">
      <c r="B645" s="39"/>
      <c r="D645" s="59"/>
      <c r="E645" s="68"/>
      <c r="F645" s="95"/>
      <c r="G645" s="21"/>
    </row>
    <row r="646" spans="2:7" s="32" customFormat="1" x14ac:dyDescent="0.25">
      <c r="B646" s="39"/>
      <c r="D646" s="59"/>
      <c r="E646" s="68"/>
      <c r="F646" s="95"/>
      <c r="G646" s="21"/>
    </row>
    <row r="647" spans="2:7" s="32" customFormat="1" x14ac:dyDescent="0.25">
      <c r="B647" s="39"/>
      <c r="D647" s="59"/>
      <c r="E647" s="68"/>
      <c r="F647" s="95"/>
      <c r="G647" s="21"/>
    </row>
    <row r="648" spans="2:7" s="32" customFormat="1" x14ac:dyDescent="0.25">
      <c r="B648" s="39"/>
      <c r="D648" s="59"/>
      <c r="E648" s="68"/>
      <c r="F648" s="95"/>
      <c r="G648" s="21"/>
    </row>
    <row r="649" spans="2:7" s="32" customFormat="1" x14ac:dyDescent="0.25">
      <c r="B649" s="39"/>
      <c r="D649" s="59"/>
      <c r="E649" s="68"/>
      <c r="F649" s="95"/>
      <c r="G649" s="21"/>
    </row>
    <row r="650" spans="2:7" s="32" customFormat="1" x14ac:dyDescent="0.25">
      <c r="B650" s="39"/>
      <c r="D650" s="59"/>
      <c r="E650" s="68"/>
      <c r="F650" s="95"/>
      <c r="G650" s="21"/>
    </row>
    <row r="651" spans="2:7" s="32" customFormat="1" x14ac:dyDescent="0.25">
      <c r="B651" s="39"/>
      <c r="D651" s="59"/>
      <c r="E651" s="68"/>
      <c r="F651" s="95"/>
      <c r="G651" s="21"/>
    </row>
    <row r="652" spans="2:7" s="32" customFormat="1" x14ac:dyDescent="0.25">
      <c r="B652" s="39"/>
      <c r="D652" s="59"/>
      <c r="E652" s="68"/>
      <c r="F652" s="95"/>
      <c r="G652" s="21"/>
    </row>
    <row r="653" spans="2:7" s="32" customFormat="1" x14ac:dyDescent="0.25">
      <c r="B653" s="39"/>
      <c r="D653" s="59"/>
      <c r="E653" s="68"/>
      <c r="F653" s="95"/>
      <c r="G653" s="21"/>
    </row>
    <row r="654" spans="2:7" s="32" customFormat="1" x14ac:dyDescent="0.25">
      <c r="B654" s="39"/>
      <c r="D654" s="59"/>
      <c r="E654" s="68"/>
      <c r="F654" s="95"/>
      <c r="G654" s="21"/>
    </row>
    <row r="655" spans="2:7" s="32" customFormat="1" x14ac:dyDescent="0.25">
      <c r="B655" s="39"/>
      <c r="D655" s="59"/>
      <c r="E655" s="68"/>
      <c r="F655" s="95"/>
      <c r="G655" s="21"/>
    </row>
    <row r="656" spans="2:7" s="32" customFormat="1" x14ac:dyDescent="0.25">
      <c r="B656" s="39"/>
      <c r="D656" s="59"/>
      <c r="E656" s="68"/>
      <c r="F656" s="95"/>
      <c r="G656" s="21"/>
    </row>
    <row r="657" spans="2:7" s="32" customFormat="1" x14ac:dyDescent="0.25">
      <c r="B657" s="39"/>
      <c r="D657" s="59"/>
      <c r="E657" s="68"/>
      <c r="F657" s="95"/>
      <c r="G657" s="21"/>
    </row>
    <row r="658" spans="2:7" s="32" customFormat="1" x14ac:dyDescent="0.25">
      <c r="B658" s="39"/>
      <c r="D658" s="59"/>
      <c r="E658" s="68"/>
      <c r="F658" s="95"/>
      <c r="G658" s="21"/>
    </row>
    <row r="659" spans="2:7" s="32" customFormat="1" x14ac:dyDescent="0.25">
      <c r="B659" s="39"/>
      <c r="D659" s="59"/>
      <c r="E659" s="68"/>
      <c r="F659" s="95"/>
      <c r="G659" s="21"/>
    </row>
    <row r="660" spans="2:7" s="32" customFormat="1" x14ac:dyDescent="0.25">
      <c r="B660" s="39"/>
      <c r="D660" s="59"/>
      <c r="E660" s="68"/>
      <c r="F660" s="95"/>
      <c r="G660" s="21"/>
    </row>
    <row r="661" spans="2:7" s="32" customFormat="1" x14ac:dyDescent="0.25">
      <c r="B661" s="39"/>
      <c r="D661" s="59"/>
      <c r="E661" s="68"/>
      <c r="F661" s="95"/>
      <c r="G661" s="21"/>
    </row>
    <row r="662" spans="2:7" s="32" customFormat="1" x14ac:dyDescent="0.25">
      <c r="B662" s="39"/>
      <c r="D662" s="59"/>
      <c r="E662" s="68"/>
      <c r="F662" s="95"/>
      <c r="G662" s="21"/>
    </row>
    <row r="663" spans="2:7" s="32" customFormat="1" x14ac:dyDescent="0.25">
      <c r="B663" s="39"/>
      <c r="D663" s="59"/>
      <c r="E663" s="68"/>
      <c r="F663" s="95"/>
      <c r="G663" s="21"/>
    </row>
    <row r="664" spans="2:7" s="32" customFormat="1" x14ac:dyDescent="0.25">
      <c r="B664" s="39"/>
      <c r="D664" s="59"/>
      <c r="E664" s="68"/>
      <c r="F664" s="95"/>
      <c r="G664" s="21"/>
    </row>
    <row r="665" spans="2:7" s="32" customFormat="1" x14ac:dyDescent="0.25">
      <c r="B665" s="39"/>
      <c r="D665" s="59"/>
      <c r="E665" s="68"/>
      <c r="F665" s="95"/>
      <c r="G665" s="21"/>
    </row>
    <row r="666" spans="2:7" s="32" customFormat="1" x14ac:dyDescent="0.25">
      <c r="B666" s="39"/>
      <c r="D666" s="59"/>
      <c r="E666" s="68"/>
      <c r="F666" s="95"/>
      <c r="G666" s="21"/>
    </row>
    <row r="667" spans="2:7" s="32" customFormat="1" x14ac:dyDescent="0.25">
      <c r="B667" s="39"/>
      <c r="D667" s="59"/>
      <c r="E667" s="68"/>
      <c r="F667" s="95"/>
      <c r="G667" s="21"/>
    </row>
    <row r="668" spans="2:7" s="32" customFormat="1" x14ac:dyDescent="0.25">
      <c r="B668" s="39"/>
      <c r="D668" s="59"/>
      <c r="E668" s="68"/>
      <c r="F668" s="95"/>
      <c r="G668" s="21"/>
    </row>
    <row r="669" spans="2:7" s="32" customFormat="1" x14ac:dyDescent="0.25">
      <c r="B669" s="39"/>
      <c r="D669" s="59"/>
      <c r="E669" s="68"/>
      <c r="F669" s="95"/>
      <c r="G669" s="21"/>
    </row>
    <row r="670" spans="2:7" s="32" customFormat="1" x14ac:dyDescent="0.25">
      <c r="B670" s="39"/>
      <c r="D670" s="59"/>
      <c r="E670" s="68"/>
      <c r="F670" s="95"/>
      <c r="G670" s="21"/>
    </row>
    <row r="671" spans="2:7" s="32" customFormat="1" x14ac:dyDescent="0.25">
      <c r="B671" s="39"/>
      <c r="D671" s="59"/>
      <c r="E671" s="68"/>
      <c r="F671" s="95"/>
      <c r="G671" s="21"/>
    </row>
    <row r="672" spans="2:7" s="32" customFormat="1" x14ac:dyDescent="0.25">
      <c r="B672" s="39"/>
      <c r="D672" s="59"/>
      <c r="E672" s="68"/>
      <c r="F672" s="95"/>
      <c r="G672" s="21"/>
    </row>
    <row r="673" spans="2:7" s="32" customFormat="1" x14ac:dyDescent="0.25">
      <c r="B673" s="39"/>
      <c r="D673" s="59"/>
      <c r="E673" s="68"/>
      <c r="F673" s="95"/>
      <c r="G673" s="21"/>
    </row>
    <row r="674" spans="2:7" s="32" customFormat="1" x14ac:dyDescent="0.25">
      <c r="B674" s="39"/>
      <c r="D674" s="59"/>
      <c r="E674" s="68"/>
      <c r="F674" s="95"/>
      <c r="G674" s="21"/>
    </row>
    <row r="675" spans="2:7" s="32" customFormat="1" x14ac:dyDescent="0.25">
      <c r="B675" s="39"/>
      <c r="D675" s="59"/>
      <c r="E675" s="68"/>
      <c r="F675" s="95"/>
      <c r="G675" s="21"/>
    </row>
    <row r="676" spans="2:7" s="32" customFormat="1" x14ac:dyDescent="0.25">
      <c r="B676" s="39"/>
      <c r="D676" s="59"/>
      <c r="E676" s="68"/>
      <c r="F676" s="95"/>
      <c r="G676" s="21"/>
    </row>
    <row r="677" spans="2:7" s="32" customFormat="1" x14ac:dyDescent="0.25">
      <c r="B677" s="39"/>
      <c r="D677" s="59"/>
      <c r="E677" s="68"/>
      <c r="F677" s="95"/>
      <c r="G677" s="21"/>
    </row>
    <row r="678" spans="2:7" s="32" customFormat="1" x14ac:dyDescent="0.25">
      <c r="B678" s="39"/>
      <c r="D678" s="59"/>
      <c r="E678" s="68"/>
      <c r="F678" s="95"/>
      <c r="G678" s="21"/>
    </row>
    <row r="679" spans="2:7" s="32" customFormat="1" x14ac:dyDescent="0.25">
      <c r="B679" s="39"/>
      <c r="D679" s="59"/>
      <c r="E679" s="68"/>
      <c r="F679" s="95"/>
      <c r="G679" s="21"/>
    </row>
    <row r="680" spans="2:7" s="32" customFormat="1" x14ac:dyDescent="0.25">
      <c r="B680" s="39"/>
      <c r="D680" s="59"/>
      <c r="E680" s="68"/>
      <c r="F680" s="95"/>
      <c r="G680" s="21"/>
    </row>
    <row r="681" spans="2:7" s="32" customFormat="1" x14ac:dyDescent="0.25">
      <c r="B681" s="39"/>
      <c r="D681" s="59"/>
      <c r="E681" s="68"/>
      <c r="F681" s="95"/>
      <c r="G681" s="21"/>
    </row>
    <row r="682" spans="2:7" s="32" customFormat="1" x14ac:dyDescent="0.25">
      <c r="B682" s="39"/>
      <c r="D682" s="59"/>
      <c r="E682" s="68"/>
      <c r="F682" s="95"/>
      <c r="G682" s="21"/>
    </row>
    <row r="683" spans="2:7" s="32" customFormat="1" x14ac:dyDescent="0.25">
      <c r="B683" s="39"/>
      <c r="D683" s="59"/>
      <c r="E683" s="68"/>
      <c r="F683" s="95"/>
      <c r="G683" s="21"/>
    </row>
    <row r="684" spans="2:7" s="32" customFormat="1" x14ac:dyDescent="0.25">
      <c r="B684" s="39"/>
      <c r="D684" s="59"/>
      <c r="E684" s="68"/>
      <c r="F684" s="95"/>
      <c r="G684" s="21"/>
    </row>
    <row r="685" spans="2:7" s="32" customFormat="1" x14ac:dyDescent="0.25">
      <c r="B685" s="39"/>
      <c r="D685" s="59"/>
      <c r="E685" s="68"/>
      <c r="F685" s="95"/>
      <c r="G685" s="21"/>
    </row>
    <row r="686" spans="2:7" s="32" customFormat="1" x14ac:dyDescent="0.25">
      <c r="B686" s="39"/>
      <c r="D686" s="59"/>
      <c r="E686" s="68"/>
      <c r="F686" s="95"/>
      <c r="G686" s="21"/>
    </row>
    <row r="687" spans="2:7" s="32" customFormat="1" x14ac:dyDescent="0.25">
      <c r="B687" s="39"/>
      <c r="D687" s="59"/>
      <c r="E687" s="68"/>
      <c r="F687" s="95"/>
      <c r="G687" s="21"/>
    </row>
    <row r="688" spans="2:7" s="32" customFormat="1" x14ac:dyDescent="0.25">
      <c r="B688" s="39"/>
      <c r="D688" s="59"/>
      <c r="E688" s="68"/>
      <c r="F688" s="95"/>
      <c r="G688" s="21"/>
    </row>
    <row r="689" spans="2:7" s="32" customFormat="1" x14ac:dyDescent="0.25">
      <c r="B689" s="39"/>
      <c r="D689" s="59"/>
      <c r="E689" s="68"/>
      <c r="F689" s="95"/>
      <c r="G689" s="21"/>
    </row>
    <row r="690" spans="2:7" s="32" customFormat="1" x14ac:dyDescent="0.25">
      <c r="B690" s="39"/>
      <c r="D690" s="59"/>
      <c r="E690" s="68"/>
      <c r="F690" s="95"/>
      <c r="G690" s="21"/>
    </row>
    <row r="691" spans="2:7" s="32" customFormat="1" x14ac:dyDescent="0.25">
      <c r="B691" s="39"/>
      <c r="D691" s="59"/>
      <c r="E691" s="68"/>
      <c r="F691" s="95"/>
      <c r="G691" s="21"/>
    </row>
    <row r="692" spans="2:7" s="32" customFormat="1" x14ac:dyDescent="0.25">
      <c r="B692" s="39"/>
      <c r="D692" s="59"/>
      <c r="E692" s="68"/>
      <c r="F692" s="95"/>
      <c r="G692" s="21"/>
    </row>
    <row r="693" spans="2:7" s="32" customFormat="1" x14ac:dyDescent="0.25">
      <c r="B693" s="39"/>
      <c r="D693" s="59"/>
      <c r="E693" s="68"/>
      <c r="F693" s="95"/>
      <c r="G693" s="21"/>
    </row>
    <row r="694" spans="2:7" s="32" customFormat="1" x14ac:dyDescent="0.25">
      <c r="B694" s="39"/>
      <c r="D694" s="59"/>
      <c r="E694" s="68"/>
      <c r="F694" s="95"/>
      <c r="G694" s="21"/>
    </row>
    <row r="695" spans="2:7" s="32" customFormat="1" x14ac:dyDescent="0.25">
      <c r="B695" s="39"/>
      <c r="D695" s="59"/>
      <c r="E695" s="68"/>
      <c r="F695" s="95"/>
      <c r="G695" s="21"/>
    </row>
    <row r="696" spans="2:7" s="32" customFormat="1" x14ac:dyDescent="0.25">
      <c r="B696" s="39"/>
      <c r="D696" s="59"/>
      <c r="E696" s="68"/>
      <c r="F696" s="95"/>
      <c r="G696" s="21"/>
    </row>
    <row r="697" spans="2:7" s="32" customFormat="1" x14ac:dyDescent="0.25">
      <c r="B697" s="39"/>
      <c r="D697" s="59"/>
      <c r="E697" s="68"/>
      <c r="F697" s="95"/>
      <c r="G697" s="21"/>
    </row>
    <row r="698" spans="2:7" s="32" customFormat="1" x14ac:dyDescent="0.25">
      <c r="B698" s="39"/>
      <c r="D698" s="59"/>
      <c r="E698" s="68"/>
      <c r="F698" s="95"/>
      <c r="G698" s="21"/>
    </row>
    <row r="699" spans="2:7" s="32" customFormat="1" x14ac:dyDescent="0.25">
      <c r="B699" s="39"/>
      <c r="D699" s="59"/>
      <c r="E699" s="68"/>
      <c r="F699" s="95"/>
      <c r="G699" s="21"/>
    </row>
    <row r="700" spans="2:7" s="32" customFormat="1" x14ac:dyDescent="0.25">
      <c r="B700" s="39"/>
      <c r="D700" s="59"/>
      <c r="E700" s="68"/>
      <c r="F700" s="95"/>
      <c r="G700" s="21"/>
    </row>
    <row r="701" spans="2:7" s="32" customFormat="1" x14ac:dyDescent="0.25">
      <c r="B701" s="39"/>
      <c r="D701" s="59"/>
      <c r="E701" s="68"/>
      <c r="F701" s="95"/>
      <c r="G701" s="21"/>
    </row>
    <row r="702" spans="2:7" s="32" customFormat="1" x14ac:dyDescent="0.25">
      <c r="B702" s="39"/>
      <c r="D702" s="59"/>
      <c r="E702" s="68"/>
      <c r="F702" s="95"/>
      <c r="G702" s="21"/>
    </row>
    <row r="703" spans="2:7" s="32" customFormat="1" x14ac:dyDescent="0.25">
      <c r="B703" s="39"/>
      <c r="D703" s="59"/>
      <c r="E703" s="68"/>
      <c r="F703" s="95"/>
      <c r="G703" s="21"/>
    </row>
    <row r="704" spans="2:7" s="32" customFormat="1" x14ac:dyDescent="0.25">
      <c r="B704" s="39"/>
      <c r="D704" s="59"/>
      <c r="E704" s="68"/>
      <c r="F704" s="95"/>
      <c r="G704" s="21"/>
    </row>
    <row r="705" spans="2:7" s="32" customFormat="1" x14ac:dyDescent="0.25">
      <c r="B705" s="39"/>
      <c r="D705" s="59"/>
      <c r="E705" s="68"/>
      <c r="F705" s="95"/>
      <c r="G705" s="21"/>
    </row>
    <row r="706" spans="2:7" s="32" customFormat="1" x14ac:dyDescent="0.25">
      <c r="B706" s="39"/>
      <c r="D706" s="59"/>
      <c r="E706" s="68"/>
      <c r="F706" s="95"/>
      <c r="G706" s="21"/>
    </row>
    <row r="707" spans="2:7" s="32" customFormat="1" x14ac:dyDescent="0.25">
      <c r="B707" s="39"/>
      <c r="D707" s="59"/>
      <c r="E707" s="68"/>
      <c r="F707" s="95"/>
      <c r="G707" s="21"/>
    </row>
    <row r="708" spans="2:7" s="32" customFormat="1" x14ac:dyDescent="0.25">
      <c r="B708" s="39"/>
      <c r="D708" s="59"/>
      <c r="E708" s="68"/>
      <c r="F708" s="95"/>
      <c r="G708" s="21"/>
    </row>
    <row r="709" spans="2:7" s="32" customFormat="1" x14ac:dyDescent="0.25">
      <c r="B709" s="39"/>
      <c r="D709" s="59"/>
      <c r="E709" s="68"/>
      <c r="F709" s="95"/>
      <c r="G709" s="21"/>
    </row>
    <row r="710" spans="2:7" s="32" customFormat="1" x14ac:dyDescent="0.25">
      <c r="B710" s="39"/>
      <c r="D710" s="59"/>
      <c r="E710" s="68"/>
      <c r="F710" s="95"/>
      <c r="G710" s="21"/>
    </row>
    <row r="711" spans="2:7" s="32" customFormat="1" x14ac:dyDescent="0.25">
      <c r="B711" s="39"/>
      <c r="D711" s="59"/>
      <c r="E711" s="68"/>
      <c r="F711" s="95"/>
      <c r="G711" s="21"/>
    </row>
    <row r="712" spans="2:7" s="32" customFormat="1" x14ac:dyDescent="0.25">
      <c r="B712" s="39"/>
      <c r="D712" s="59"/>
      <c r="E712" s="68"/>
      <c r="F712" s="95"/>
      <c r="G712" s="21"/>
    </row>
    <row r="713" spans="2:7" s="32" customFormat="1" x14ac:dyDescent="0.25">
      <c r="B713" s="39"/>
      <c r="D713" s="59"/>
      <c r="E713" s="68"/>
      <c r="F713" s="95"/>
      <c r="G713" s="21"/>
    </row>
    <row r="714" spans="2:7" s="32" customFormat="1" x14ac:dyDescent="0.25">
      <c r="B714" s="39"/>
      <c r="D714" s="59"/>
      <c r="E714" s="68"/>
      <c r="F714" s="95"/>
      <c r="G714" s="21"/>
    </row>
    <row r="715" spans="2:7" s="32" customFormat="1" x14ac:dyDescent="0.25">
      <c r="B715" s="39"/>
      <c r="D715" s="59"/>
      <c r="E715" s="68"/>
      <c r="F715" s="95"/>
      <c r="G715" s="21"/>
    </row>
    <row r="716" spans="2:7" s="32" customFormat="1" x14ac:dyDescent="0.25">
      <c r="B716" s="39"/>
      <c r="D716" s="59"/>
      <c r="E716" s="68"/>
      <c r="F716" s="95"/>
      <c r="G716" s="21"/>
    </row>
    <row r="717" spans="2:7" s="32" customFormat="1" x14ac:dyDescent="0.25">
      <c r="B717" s="39"/>
      <c r="D717" s="59"/>
      <c r="E717" s="68"/>
      <c r="F717" s="95"/>
      <c r="G717" s="21"/>
    </row>
    <row r="718" spans="2:7" s="32" customFormat="1" x14ac:dyDescent="0.25">
      <c r="B718" s="39"/>
      <c r="D718" s="59"/>
      <c r="E718" s="68"/>
      <c r="F718" s="95"/>
      <c r="G718" s="21"/>
    </row>
    <row r="719" spans="2:7" s="32" customFormat="1" x14ac:dyDescent="0.25">
      <c r="B719" s="39"/>
      <c r="D719" s="59"/>
      <c r="E719" s="68"/>
      <c r="F719" s="95"/>
      <c r="G719" s="21"/>
    </row>
    <row r="720" spans="2:7" s="32" customFormat="1" x14ac:dyDescent="0.25">
      <c r="B720" s="39"/>
      <c r="D720" s="59"/>
      <c r="E720" s="68"/>
      <c r="F720" s="95"/>
      <c r="G720" s="21"/>
    </row>
    <row r="721" spans="2:7" s="32" customFormat="1" x14ac:dyDescent="0.25">
      <c r="B721" s="39"/>
      <c r="D721" s="59"/>
      <c r="E721" s="68"/>
      <c r="F721" s="95"/>
      <c r="G721" s="21"/>
    </row>
    <row r="722" spans="2:7" s="32" customFormat="1" x14ac:dyDescent="0.25">
      <c r="B722" s="39"/>
      <c r="D722" s="59"/>
      <c r="E722" s="68"/>
      <c r="F722" s="95"/>
      <c r="G722" s="21"/>
    </row>
    <row r="723" spans="2:7" s="32" customFormat="1" x14ac:dyDescent="0.25">
      <c r="B723" s="39"/>
      <c r="D723" s="59"/>
      <c r="E723" s="68"/>
      <c r="F723" s="95"/>
      <c r="G723" s="21"/>
    </row>
    <row r="724" spans="2:7" s="32" customFormat="1" x14ac:dyDescent="0.25">
      <c r="B724" s="39"/>
      <c r="D724" s="59"/>
      <c r="E724" s="68"/>
      <c r="F724" s="95"/>
      <c r="G724" s="21"/>
    </row>
    <row r="725" spans="2:7" s="32" customFormat="1" x14ac:dyDescent="0.25">
      <c r="B725" s="39"/>
      <c r="D725" s="59"/>
      <c r="E725" s="68"/>
      <c r="F725" s="95"/>
      <c r="G725" s="21"/>
    </row>
    <row r="726" spans="2:7" s="32" customFormat="1" x14ac:dyDescent="0.25">
      <c r="B726" s="39"/>
      <c r="D726" s="59"/>
      <c r="E726" s="68"/>
      <c r="F726" s="95"/>
      <c r="G726" s="21"/>
    </row>
    <row r="727" spans="2:7" s="32" customFormat="1" x14ac:dyDescent="0.25">
      <c r="B727" s="39"/>
      <c r="D727" s="59"/>
      <c r="E727" s="68"/>
      <c r="F727" s="95"/>
      <c r="G727" s="21"/>
    </row>
    <row r="728" spans="2:7" s="32" customFormat="1" x14ac:dyDescent="0.25">
      <c r="B728" s="39"/>
      <c r="D728" s="59"/>
      <c r="E728" s="68"/>
      <c r="F728" s="95"/>
      <c r="G728" s="21"/>
    </row>
    <row r="729" spans="2:7" s="32" customFormat="1" x14ac:dyDescent="0.25">
      <c r="B729" s="39"/>
      <c r="D729" s="59"/>
      <c r="E729" s="68"/>
      <c r="F729" s="95"/>
      <c r="G729" s="21"/>
    </row>
    <row r="730" spans="2:7" s="32" customFormat="1" x14ac:dyDescent="0.25">
      <c r="B730" s="39"/>
      <c r="D730" s="59"/>
      <c r="E730" s="68"/>
      <c r="F730" s="95"/>
      <c r="G730" s="21"/>
    </row>
    <row r="731" spans="2:7" s="32" customFormat="1" x14ac:dyDescent="0.25">
      <c r="B731" s="39"/>
      <c r="D731" s="59"/>
      <c r="E731" s="68"/>
      <c r="F731" s="95"/>
      <c r="G731" s="21"/>
    </row>
    <row r="732" spans="2:7" s="32" customFormat="1" x14ac:dyDescent="0.25">
      <c r="B732" s="39"/>
      <c r="D732" s="59"/>
      <c r="E732" s="68"/>
      <c r="F732" s="95"/>
      <c r="G732" s="21"/>
    </row>
    <row r="733" spans="2:7" s="32" customFormat="1" x14ac:dyDescent="0.25">
      <c r="B733" s="39"/>
      <c r="D733" s="59"/>
      <c r="E733" s="68"/>
      <c r="F733" s="95"/>
      <c r="G733" s="21"/>
    </row>
    <row r="734" spans="2:7" s="32" customFormat="1" x14ac:dyDescent="0.25">
      <c r="B734" s="39"/>
      <c r="D734" s="59"/>
      <c r="E734" s="68"/>
      <c r="F734" s="95"/>
      <c r="G734" s="21"/>
    </row>
    <row r="735" spans="2:7" s="32" customFormat="1" x14ac:dyDescent="0.25">
      <c r="B735" s="39"/>
      <c r="D735" s="59"/>
      <c r="E735" s="68"/>
      <c r="F735" s="95"/>
      <c r="G735" s="21"/>
    </row>
    <row r="736" spans="2:7" s="32" customFormat="1" x14ac:dyDescent="0.25">
      <c r="B736" s="39"/>
      <c r="D736" s="59"/>
      <c r="E736" s="68"/>
      <c r="F736" s="95"/>
      <c r="G736" s="21"/>
    </row>
    <row r="737" spans="2:7" s="32" customFormat="1" x14ac:dyDescent="0.25">
      <c r="B737" s="39"/>
      <c r="D737" s="59"/>
      <c r="E737" s="68"/>
      <c r="F737" s="95"/>
      <c r="G737" s="21"/>
    </row>
    <row r="738" spans="2:7" s="32" customFormat="1" x14ac:dyDescent="0.25">
      <c r="B738" s="39"/>
      <c r="D738" s="59"/>
      <c r="E738" s="68"/>
      <c r="F738" s="95"/>
      <c r="G738" s="21"/>
    </row>
    <row r="739" spans="2:7" s="32" customFormat="1" x14ac:dyDescent="0.25">
      <c r="B739" s="39"/>
      <c r="D739" s="59"/>
      <c r="E739" s="68"/>
      <c r="F739" s="95"/>
      <c r="G739" s="21"/>
    </row>
    <row r="740" spans="2:7" s="32" customFormat="1" x14ac:dyDescent="0.25">
      <c r="B740" s="39"/>
      <c r="D740" s="59"/>
      <c r="E740" s="68"/>
      <c r="F740" s="95"/>
      <c r="G740" s="21"/>
    </row>
    <row r="741" spans="2:7" s="32" customFormat="1" x14ac:dyDescent="0.25">
      <c r="B741" s="39"/>
      <c r="D741" s="59"/>
      <c r="E741" s="68"/>
      <c r="F741" s="95"/>
      <c r="G741" s="21"/>
    </row>
    <row r="742" spans="2:7" s="32" customFormat="1" x14ac:dyDescent="0.25">
      <c r="B742" s="39"/>
      <c r="D742" s="59"/>
      <c r="E742" s="68"/>
      <c r="F742" s="95"/>
      <c r="G742" s="21"/>
    </row>
    <row r="743" spans="2:7" s="32" customFormat="1" x14ac:dyDescent="0.25">
      <c r="B743" s="39"/>
      <c r="D743" s="59"/>
      <c r="E743" s="68"/>
      <c r="F743" s="95"/>
      <c r="G743" s="21"/>
    </row>
    <row r="744" spans="2:7" s="32" customFormat="1" x14ac:dyDescent="0.25">
      <c r="B744" s="39"/>
      <c r="D744" s="59"/>
      <c r="E744" s="68"/>
      <c r="F744" s="95"/>
      <c r="G744" s="21"/>
    </row>
    <row r="745" spans="2:7" s="32" customFormat="1" x14ac:dyDescent="0.25">
      <c r="B745" s="39"/>
      <c r="D745" s="59"/>
      <c r="E745" s="68"/>
      <c r="F745" s="95"/>
      <c r="G745" s="21"/>
    </row>
    <row r="746" spans="2:7" s="32" customFormat="1" x14ac:dyDescent="0.25">
      <c r="B746" s="39"/>
      <c r="D746" s="59"/>
      <c r="E746" s="68"/>
      <c r="F746" s="95"/>
      <c r="G746" s="21"/>
    </row>
    <row r="747" spans="2:7" s="32" customFormat="1" x14ac:dyDescent="0.25">
      <c r="B747" s="39"/>
      <c r="D747" s="59"/>
      <c r="E747" s="68"/>
      <c r="F747" s="95"/>
      <c r="G747" s="21"/>
    </row>
    <row r="748" spans="2:7" s="32" customFormat="1" x14ac:dyDescent="0.25">
      <c r="B748" s="39"/>
      <c r="D748" s="59"/>
      <c r="E748" s="68"/>
      <c r="F748" s="95"/>
      <c r="G748" s="21"/>
    </row>
    <row r="749" spans="2:7" s="32" customFormat="1" x14ac:dyDescent="0.25">
      <c r="B749" s="39"/>
      <c r="D749" s="59"/>
      <c r="E749" s="68"/>
      <c r="F749" s="95"/>
      <c r="G749" s="21"/>
    </row>
    <row r="750" spans="2:7" s="32" customFormat="1" x14ac:dyDescent="0.25">
      <c r="B750" s="39"/>
      <c r="D750" s="59"/>
      <c r="E750" s="68"/>
      <c r="F750" s="95"/>
      <c r="G750" s="21"/>
    </row>
    <row r="751" spans="2:7" s="32" customFormat="1" x14ac:dyDescent="0.25">
      <c r="B751" s="39"/>
      <c r="D751" s="59"/>
      <c r="E751" s="68"/>
      <c r="F751" s="95"/>
      <c r="G751" s="21"/>
    </row>
    <row r="752" spans="2:7" s="32" customFormat="1" x14ac:dyDescent="0.25">
      <c r="B752" s="39"/>
      <c r="D752" s="59"/>
      <c r="E752" s="68"/>
      <c r="F752" s="95"/>
      <c r="G752" s="21"/>
    </row>
    <row r="753" spans="2:7" s="32" customFormat="1" x14ac:dyDescent="0.25">
      <c r="B753" s="39"/>
      <c r="D753" s="59"/>
      <c r="E753" s="68"/>
      <c r="F753" s="95"/>
      <c r="G753" s="21"/>
    </row>
    <row r="754" spans="2:7" s="32" customFormat="1" x14ac:dyDescent="0.25">
      <c r="B754" s="39"/>
      <c r="D754" s="59"/>
      <c r="E754" s="68"/>
      <c r="F754" s="95"/>
      <c r="G754" s="21"/>
    </row>
    <row r="755" spans="2:7" s="32" customFormat="1" x14ac:dyDescent="0.25">
      <c r="B755" s="39"/>
      <c r="D755" s="59"/>
      <c r="E755" s="68"/>
      <c r="F755" s="95"/>
      <c r="G755" s="21"/>
    </row>
    <row r="756" spans="2:7" s="32" customFormat="1" x14ac:dyDescent="0.25">
      <c r="B756" s="39"/>
      <c r="D756" s="59"/>
      <c r="E756" s="68"/>
      <c r="F756" s="95"/>
      <c r="G756" s="21"/>
    </row>
    <row r="757" spans="2:7" s="32" customFormat="1" x14ac:dyDescent="0.25">
      <c r="B757" s="39"/>
      <c r="D757" s="59"/>
      <c r="E757" s="68"/>
      <c r="F757" s="95"/>
      <c r="G757" s="21"/>
    </row>
    <row r="758" spans="2:7" s="32" customFormat="1" x14ac:dyDescent="0.25">
      <c r="B758" s="39"/>
      <c r="D758" s="59"/>
      <c r="E758" s="68"/>
      <c r="F758" s="95"/>
      <c r="G758" s="21"/>
    </row>
    <row r="759" spans="2:7" s="32" customFormat="1" x14ac:dyDescent="0.25">
      <c r="B759" s="39"/>
      <c r="D759" s="59"/>
      <c r="E759" s="68"/>
      <c r="F759" s="95"/>
      <c r="G759" s="21"/>
    </row>
    <row r="760" spans="2:7" s="32" customFormat="1" x14ac:dyDescent="0.25">
      <c r="B760" s="39"/>
      <c r="D760" s="59"/>
      <c r="E760" s="68"/>
      <c r="F760" s="95"/>
      <c r="G760" s="21"/>
    </row>
    <row r="761" spans="2:7" s="32" customFormat="1" x14ac:dyDescent="0.25">
      <c r="B761" s="39"/>
      <c r="D761" s="59"/>
      <c r="E761" s="68"/>
      <c r="F761" s="95"/>
      <c r="G761" s="21"/>
    </row>
    <row r="762" spans="2:7" s="32" customFormat="1" x14ac:dyDescent="0.25">
      <c r="B762" s="39"/>
      <c r="D762" s="59"/>
      <c r="E762" s="68"/>
      <c r="F762" s="95"/>
      <c r="G762" s="21"/>
    </row>
    <row r="763" spans="2:7" s="32" customFormat="1" x14ac:dyDescent="0.25">
      <c r="B763" s="39"/>
      <c r="D763" s="59"/>
      <c r="E763" s="68"/>
      <c r="F763" s="95"/>
      <c r="G763" s="21"/>
    </row>
    <row r="764" spans="2:7" s="32" customFormat="1" x14ac:dyDescent="0.25">
      <c r="B764" s="39"/>
      <c r="D764" s="59"/>
      <c r="E764" s="68"/>
      <c r="F764" s="95"/>
      <c r="G764" s="21"/>
    </row>
    <row r="765" spans="2:7" s="32" customFormat="1" x14ac:dyDescent="0.25">
      <c r="B765" s="39"/>
      <c r="D765" s="59"/>
      <c r="E765" s="68"/>
      <c r="F765" s="95"/>
      <c r="G765" s="21"/>
    </row>
    <row r="766" spans="2:7" s="32" customFormat="1" x14ac:dyDescent="0.25">
      <c r="B766" s="39"/>
      <c r="D766" s="59"/>
      <c r="E766" s="68"/>
      <c r="F766" s="95"/>
      <c r="G766" s="21"/>
    </row>
    <row r="767" spans="2:7" s="32" customFormat="1" x14ac:dyDescent="0.25">
      <c r="B767" s="39"/>
      <c r="D767" s="59"/>
      <c r="E767" s="68"/>
      <c r="F767" s="95"/>
      <c r="G767" s="21"/>
    </row>
    <row r="768" spans="2:7" s="32" customFormat="1" x14ac:dyDescent="0.25">
      <c r="B768" s="39"/>
      <c r="D768" s="59"/>
      <c r="E768" s="68"/>
      <c r="F768" s="95"/>
      <c r="G768" s="21"/>
    </row>
    <row r="769" spans="2:7" s="32" customFormat="1" x14ac:dyDescent="0.25">
      <c r="B769" s="39"/>
      <c r="D769" s="59"/>
      <c r="E769" s="68"/>
      <c r="F769" s="95"/>
      <c r="G769" s="21"/>
    </row>
    <row r="770" spans="2:7" s="32" customFormat="1" x14ac:dyDescent="0.25">
      <c r="B770" s="39"/>
      <c r="D770" s="59"/>
      <c r="E770" s="68"/>
      <c r="F770" s="95"/>
      <c r="G770" s="21"/>
    </row>
    <row r="771" spans="2:7" s="32" customFormat="1" x14ac:dyDescent="0.25">
      <c r="B771" s="39"/>
      <c r="D771" s="59"/>
      <c r="E771" s="68"/>
      <c r="F771" s="95"/>
      <c r="G771" s="21"/>
    </row>
    <row r="772" spans="2:7" s="32" customFormat="1" x14ac:dyDescent="0.25">
      <c r="B772" s="39"/>
      <c r="D772" s="59"/>
      <c r="E772" s="68"/>
      <c r="F772" s="95"/>
      <c r="G772" s="21"/>
    </row>
    <row r="773" spans="2:7" s="32" customFormat="1" x14ac:dyDescent="0.25">
      <c r="B773" s="39"/>
      <c r="D773" s="59"/>
      <c r="E773" s="68"/>
      <c r="F773" s="95"/>
      <c r="G773" s="21"/>
    </row>
    <row r="774" spans="2:7" s="32" customFormat="1" x14ac:dyDescent="0.25">
      <c r="B774" s="39"/>
      <c r="D774" s="59"/>
      <c r="E774" s="68"/>
      <c r="F774" s="95"/>
      <c r="G774" s="21"/>
    </row>
    <row r="775" spans="2:7" s="32" customFormat="1" x14ac:dyDescent="0.25">
      <c r="B775" s="39"/>
      <c r="D775" s="59"/>
      <c r="E775" s="68"/>
      <c r="F775" s="95"/>
      <c r="G775" s="21"/>
    </row>
    <row r="776" spans="2:7" s="32" customFormat="1" x14ac:dyDescent="0.25">
      <c r="B776" s="39"/>
      <c r="D776" s="59"/>
      <c r="E776" s="68"/>
      <c r="F776" s="95"/>
      <c r="G776" s="21"/>
    </row>
    <row r="777" spans="2:7" s="32" customFormat="1" x14ac:dyDescent="0.25">
      <c r="B777" s="39"/>
      <c r="D777" s="59"/>
      <c r="E777" s="68"/>
      <c r="F777" s="95"/>
      <c r="G777" s="21"/>
    </row>
    <row r="778" spans="2:7" s="32" customFormat="1" x14ac:dyDescent="0.25">
      <c r="B778" s="39"/>
      <c r="D778" s="59"/>
      <c r="E778" s="68"/>
      <c r="F778" s="95"/>
      <c r="G778" s="21"/>
    </row>
    <row r="779" spans="2:7" s="32" customFormat="1" x14ac:dyDescent="0.25">
      <c r="B779" s="39"/>
      <c r="D779" s="59"/>
      <c r="E779" s="68"/>
      <c r="F779" s="95"/>
      <c r="G779" s="21"/>
    </row>
    <row r="780" spans="2:7" s="32" customFormat="1" x14ac:dyDescent="0.25">
      <c r="B780" s="39"/>
      <c r="D780" s="59"/>
      <c r="E780" s="68"/>
      <c r="F780" s="95"/>
      <c r="G780" s="21"/>
    </row>
    <row r="781" spans="2:7" s="32" customFormat="1" x14ac:dyDescent="0.25">
      <c r="B781" s="39"/>
      <c r="D781" s="59"/>
      <c r="E781" s="68"/>
      <c r="F781" s="95"/>
      <c r="G781" s="21"/>
    </row>
    <row r="782" spans="2:7" s="32" customFormat="1" x14ac:dyDescent="0.25">
      <c r="B782" s="39"/>
      <c r="D782" s="59"/>
      <c r="E782" s="68"/>
      <c r="F782" s="95"/>
      <c r="G782" s="21"/>
    </row>
    <row r="783" spans="2:7" s="32" customFormat="1" x14ac:dyDescent="0.25">
      <c r="B783" s="39"/>
      <c r="D783" s="59"/>
      <c r="E783" s="68"/>
      <c r="F783" s="95"/>
      <c r="G783" s="21"/>
    </row>
    <row r="784" spans="2:7" s="32" customFormat="1" x14ac:dyDescent="0.25">
      <c r="B784" s="39"/>
      <c r="D784" s="59"/>
      <c r="E784" s="68"/>
      <c r="F784" s="95"/>
      <c r="G784" s="21"/>
    </row>
    <row r="785" spans="2:7" s="32" customFormat="1" x14ac:dyDescent="0.25">
      <c r="B785" s="39"/>
      <c r="D785" s="59"/>
      <c r="E785" s="68"/>
      <c r="F785" s="95"/>
      <c r="G785" s="21"/>
    </row>
    <row r="786" spans="2:7" s="32" customFormat="1" x14ac:dyDescent="0.25">
      <c r="B786" s="39"/>
      <c r="D786" s="59"/>
      <c r="E786" s="68"/>
      <c r="F786" s="95"/>
      <c r="G786" s="21"/>
    </row>
    <row r="787" spans="2:7" s="32" customFormat="1" x14ac:dyDescent="0.25">
      <c r="B787" s="39"/>
      <c r="D787" s="59"/>
      <c r="E787" s="68"/>
      <c r="F787" s="95"/>
      <c r="G787" s="21"/>
    </row>
    <row r="788" spans="2:7" s="32" customFormat="1" x14ac:dyDescent="0.25">
      <c r="B788" s="39"/>
      <c r="D788" s="59"/>
      <c r="E788" s="68"/>
      <c r="F788" s="95"/>
      <c r="G788" s="21"/>
    </row>
    <row r="789" spans="2:7" s="32" customFormat="1" x14ac:dyDescent="0.25">
      <c r="B789" s="39"/>
      <c r="D789" s="59"/>
      <c r="E789" s="68"/>
      <c r="F789" s="95"/>
      <c r="G789" s="21"/>
    </row>
    <row r="790" spans="2:7" s="32" customFormat="1" x14ac:dyDescent="0.25">
      <c r="B790" s="39"/>
      <c r="D790" s="59"/>
      <c r="E790" s="68"/>
      <c r="F790" s="95"/>
      <c r="G790" s="21"/>
    </row>
    <row r="791" spans="2:7" s="32" customFormat="1" x14ac:dyDescent="0.25">
      <c r="B791" s="39"/>
      <c r="D791" s="59"/>
      <c r="E791" s="68"/>
      <c r="F791" s="95"/>
      <c r="G791" s="21"/>
    </row>
    <row r="792" spans="2:7" s="32" customFormat="1" x14ac:dyDescent="0.25">
      <c r="B792" s="39"/>
      <c r="D792" s="59"/>
      <c r="E792" s="68"/>
      <c r="F792" s="95"/>
      <c r="G792" s="21"/>
    </row>
    <row r="793" spans="2:7" s="32" customFormat="1" x14ac:dyDescent="0.25">
      <c r="B793" s="39"/>
      <c r="D793" s="59"/>
      <c r="E793" s="68"/>
      <c r="F793" s="95"/>
      <c r="G793" s="21"/>
    </row>
    <row r="794" spans="2:7" s="32" customFormat="1" x14ac:dyDescent="0.25">
      <c r="B794" s="39"/>
      <c r="D794" s="59"/>
      <c r="E794" s="68"/>
      <c r="F794" s="95"/>
      <c r="G794" s="21"/>
    </row>
    <row r="795" spans="2:7" s="32" customFormat="1" x14ac:dyDescent="0.25">
      <c r="B795" s="39"/>
      <c r="D795" s="59"/>
      <c r="E795" s="68"/>
      <c r="F795" s="95"/>
      <c r="G795" s="21"/>
    </row>
    <row r="796" spans="2:7" s="32" customFormat="1" x14ac:dyDescent="0.25">
      <c r="B796" s="39"/>
      <c r="D796" s="59"/>
      <c r="E796" s="68"/>
      <c r="F796" s="95"/>
      <c r="G796" s="21"/>
    </row>
    <row r="797" spans="2:7" s="32" customFormat="1" x14ac:dyDescent="0.25">
      <c r="B797" s="39"/>
      <c r="D797" s="59"/>
      <c r="E797" s="68"/>
      <c r="F797" s="95"/>
      <c r="G797" s="21"/>
    </row>
    <row r="798" spans="2:7" s="32" customFormat="1" x14ac:dyDescent="0.25">
      <c r="B798" s="39"/>
      <c r="D798" s="59"/>
      <c r="E798" s="68"/>
      <c r="F798" s="95"/>
      <c r="G798" s="21"/>
    </row>
    <row r="799" spans="2:7" s="32" customFormat="1" x14ac:dyDescent="0.25">
      <c r="B799" s="39"/>
      <c r="D799" s="59"/>
      <c r="E799" s="68"/>
      <c r="F799" s="95"/>
      <c r="G799" s="21"/>
    </row>
    <row r="800" spans="2:7" s="32" customFormat="1" x14ac:dyDescent="0.25">
      <c r="B800" s="39"/>
      <c r="D800" s="59"/>
      <c r="E800" s="68"/>
      <c r="F800" s="95"/>
      <c r="G800" s="21"/>
    </row>
    <row r="801" spans="2:7" s="32" customFormat="1" x14ac:dyDescent="0.25">
      <c r="B801" s="39"/>
      <c r="D801" s="59"/>
      <c r="E801" s="68"/>
      <c r="F801" s="95"/>
      <c r="G801" s="21"/>
    </row>
    <row r="802" spans="2:7" s="32" customFormat="1" x14ac:dyDescent="0.25">
      <c r="B802" s="39"/>
      <c r="D802" s="59"/>
      <c r="E802" s="68"/>
      <c r="F802" s="95"/>
      <c r="G802" s="21"/>
    </row>
    <row r="803" spans="2:7" s="32" customFormat="1" x14ac:dyDescent="0.25">
      <c r="B803" s="39"/>
      <c r="D803" s="59"/>
      <c r="E803" s="68"/>
      <c r="F803" s="95"/>
      <c r="G803" s="21"/>
    </row>
    <row r="804" spans="2:7" s="32" customFormat="1" x14ac:dyDescent="0.25">
      <c r="B804" s="39"/>
      <c r="D804" s="59"/>
      <c r="E804" s="68"/>
      <c r="F804" s="95"/>
      <c r="G804" s="21"/>
    </row>
    <row r="805" spans="2:7" s="32" customFormat="1" x14ac:dyDescent="0.25">
      <c r="B805" s="39"/>
      <c r="D805" s="59"/>
      <c r="E805" s="68"/>
      <c r="F805" s="95"/>
      <c r="G805" s="21"/>
    </row>
    <row r="806" spans="2:7" s="32" customFormat="1" x14ac:dyDescent="0.25">
      <c r="B806" s="39"/>
      <c r="D806" s="59"/>
      <c r="E806" s="68"/>
      <c r="F806" s="95"/>
      <c r="G806" s="21"/>
    </row>
    <row r="807" spans="2:7" s="32" customFormat="1" x14ac:dyDescent="0.25">
      <c r="B807" s="39"/>
      <c r="D807" s="59"/>
      <c r="E807" s="68"/>
      <c r="F807" s="95"/>
      <c r="G807" s="21"/>
    </row>
    <row r="808" spans="2:7" s="32" customFormat="1" x14ac:dyDescent="0.25">
      <c r="B808" s="39"/>
      <c r="D808" s="59"/>
      <c r="E808" s="68"/>
      <c r="F808" s="95"/>
      <c r="G808" s="21"/>
    </row>
    <row r="809" spans="2:7" s="32" customFormat="1" x14ac:dyDescent="0.25">
      <c r="B809" s="39"/>
      <c r="D809" s="59"/>
      <c r="E809" s="68"/>
      <c r="F809" s="95"/>
      <c r="G809" s="21"/>
    </row>
    <row r="810" spans="2:7" s="32" customFormat="1" x14ac:dyDescent="0.25">
      <c r="B810" s="39"/>
      <c r="D810" s="59"/>
      <c r="E810" s="68"/>
      <c r="F810" s="95"/>
      <c r="G810" s="21"/>
    </row>
    <row r="811" spans="2:7" s="32" customFormat="1" x14ac:dyDescent="0.25">
      <c r="B811" s="39"/>
      <c r="D811" s="59"/>
      <c r="E811" s="68"/>
      <c r="F811" s="95"/>
      <c r="G811" s="21"/>
    </row>
    <row r="812" spans="2:7" s="32" customFormat="1" x14ac:dyDescent="0.25">
      <c r="B812" s="39"/>
      <c r="D812" s="59"/>
      <c r="E812" s="68"/>
      <c r="F812" s="95"/>
      <c r="G812" s="21"/>
    </row>
    <row r="813" spans="2:7" s="32" customFormat="1" x14ac:dyDescent="0.25">
      <c r="B813" s="39"/>
      <c r="D813" s="59"/>
      <c r="E813" s="68"/>
      <c r="F813" s="95"/>
      <c r="G813" s="21"/>
    </row>
    <row r="814" spans="2:7" s="32" customFormat="1" x14ac:dyDescent="0.25">
      <c r="B814" s="39"/>
      <c r="D814" s="59"/>
      <c r="E814" s="68"/>
      <c r="F814" s="95"/>
      <c r="G814" s="21"/>
    </row>
    <row r="815" spans="2:7" s="32" customFormat="1" x14ac:dyDescent="0.25">
      <c r="B815" s="39"/>
      <c r="D815" s="59"/>
      <c r="E815" s="68"/>
      <c r="F815" s="95"/>
      <c r="G815" s="21"/>
    </row>
    <row r="816" spans="2:7" s="32" customFormat="1" x14ac:dyDescent="0.25">
      <c r="B816" s="39"/>
      <c r="D816" s="59"/>
      <c r="E816" s="68"/>
      <c r="F816" s="95"/>
      <c r="G816" s="21"/>
    </row>
    <row r="817" spans="2:7" s="32" customFormat="1" x14ac:dyDescent="0.25">
      <c r="B817" s="39"/>
      <c r="D817" s="59"/>
      <c r="E817" s="68"/>
      <c r="F817" s="95"/>
      <c r="G817" s="21"/>
    </row>
    <row r="818" spans="2:7" s="32" customFormat="1" x14ac:dyDescent="0.25">
      <c r="B818" s="39"/>
      <c r="D818" s="59"/>
      <c r="E818" s="68"/>
      <c r="F818" s="95"/>
      <c r="G818" s="21"/>
    </row>
    <row r="819" spans="2:7" s="32" customFormat="1" x14ac:dyDescent="0.25">
      <c r="B819" s="39"/>
      <c r="D819" s="59"/>
      <c r="E819" s="68"/>
      <c r="F819" s="95"/>
      <c r="G819" s="21"/>
    </row>
    <row r="820" spans="2:7" s="32" customFormat="1" x14ac:dyDescent="0.25">
      <c r="B820" s="39"/>
      <c r="D820" s="59"/>
      <c r="E820" s="68"/>
      <c r="F820" s="95"/>
      <c r="G820" s="21"/>
    </row>
    <row r="821" spans="2:7" s="32" customFormat="1" x14ac:dyDescent="0.25">
      <c r="B821" s="39"/>
      <c r="D821" s="59"/>
      <c r="E821" s="68"/>
      <c r="F821" s="95"/>
      <c r="G821" s="21"/>
    </row>
    <row r="822" spans="2:7" s="32" customFormat="1" x14ac:dyDescent="0.25">
      <c r="B822" s="39"/>
      <c r="D822" s="59"/>
      <c r="E822" s="68"/>
      <c r="F822" s="95"/>
      <c r="G822" s="21"/>
    </row>
    <row r="823" spans="2:7" s="32" customFormat="1" x14ac:dyDescent="0.25">
      <c r="B823" s="39"/>
      <c r="D823" s="59"/>
      <c r="E823" s="68"/>
      <c r="F823" s="95"/>
      <c r="G823" s="21"/>
    </row>
    <row r="824" spans="2:7" s="32" customFormat="1" x14ac:dyDescent="0.25">
      <c r="B824" s="39"/>
      <c r="D824" s="59"/>
      <c r="E824" s="68"/>
      <c r="F824" s="95"/>
      <c r="G824" s="21"/>
    </row>
    <row r="825" spans="2:7" s="32" customFormat="1" x14ac:dyDescent="0.25">
      <c r="B825" s="39"/>
      <c r="D825" s="59"/>
      <c r="E825" s="68"/>
      <c r="F825" s="95"/>
      <c r="G825" s="21"/>
    </row>
    <row r="826" spans="2:7" s="32" customFormat="1" x14ac:dyDescent="0.25">
      <c r="B826" s="39"/>
      <c r="D826" s="59"/>
      <c r="E826" s="68"/>
      <c r="F826" s="95"/>
      <c r="G826" s="21"/>
    </row>
    <row r="827" spans="2:7" s="32" customFormat="1" x14ac:dyDescent="0.25">
      <c r="B827" s="39"/>
      <c r="D827" s="59"/>
      <c r="E827" s="68"/>
      <c r="F827" s="95"/>
      <c r="G827" s="21"/>
    </row>
    <row r="828" spans="2:7" s="32" customFormat="1" x14ac:dyDescent="0.25">
      <c r="B828" s="39"/>
      <c r="D828" s="59"/>
      <c r="E828" s="68"/>
      <c r="F828" s="95"/>
      <c r="G828" s="21"/>
    </row>
    <row r="829" spans="2:7" s="32" customFormat="1" x14ac:dyDescent="0.25">
      <c r="B829" s="39"/>
      <c r="D829" s="59"/>
      <c r="E829" s="68"/>
      <c r="F829" s="95"/>
      <c r="G829" s="21"/>
    </row>
    <row r="830" spans="2:7" s="32" customFormat="1" x14ac:dyDescent="0.25">
      <c r="B830" s="39"/>
      <c r="D830" s="59"/>
      <c r="E830" s="68"/>
      <c r="F830" s="95"/>
      <c r="G830" s="21"/>
    </row>
    <row r="831" spans="2:7" s="32" customFormat="1" x14ac:dyDescent="0.25">
      <c r="B831" s="39"/>
      <c r="D831" s="59"/>
      <c r="E831" s="68"/>
      <c r="F831" s="95"/>
      <c r="G831" s="21"/>
    </row>
    <row r="832" spans="2:7" s="32" customFormat="1" x14ac:dyDescent="0.25">
      <c r="B832" s="39"/>
      <c r="D832" s="59"/>
      <c r="E832" s="68"/>
      <c r="F832" s="95"/>
      <c r="G832" s="21"/>
    </row>
    <row r="833" spans="2:7" s="32" customFormat="1" x14ac:dyDescent="0.25">
      <c r="B833" s="39"/>
      <c r="D833" s="59"/>
      <c r="E833" s="68"/>
      <c r="F833" s="95"/>
      <c r="G833" s="21"/>
    </row>
    <row r="834" spans="2:7" s="32" customFormat="1" x14ac:dyDescent="0.25">
      <c r="B834" s="39"/>
      <c r="D834" s="59"/>
      <c r="E834" s="68"/>
      <c r="F834" s="95"/>
      <c r="G834" s="21"/>
    </row>
    <row r="835" spans="2:7" s="32" customFormat="1" x14ac:dyDescent="0.25">
      <c r="B835" s="39"/>
      <c r="D835" s="59"/>
      <c r="E835" s="68"/>
      <c r="F835" s="95"/>
      <c r="G835" s="21"/>
    </row>
    <row r="836" spans="2:7" s="32" customFormat="1" x14ac:dyDescent="0.25">
      <c r="B836" s="39"/>
      <c r="D836" s="59"/>
      <c r="E836" s="68"/>
      <c r="F836" s="95"/>
      <c r="G836" s="21"/>
    </row>
    <row r="837" spans="2:7" s="32" customFormat="1" x14ac:dyDescent="0.25">
      <c r="B837" s="39"/>
      <c r="D837" s="59"/>
      <c r="E837" s="68"/>
      <c r="F837" s="95"/>
      <c r="G837" s="21"/>
    </row>
    <row r="838" spans="2:7" s="32" customFormat="1" x14ac:dyDescent="0.25">
      <c r="B838" s="39"/>
      <c r="D838" s="59"/>
      <c r="E838" s="68"/>
      <c r="F838" s="95"/>
      <c r="G838" s="21"/>
    </row>
    <row r="839" spans="2:7" s="32" customFormat="1" x14ac:dyDescent="0.25">
      <c r="B839" s="39"/>
      <c r="D839" s="59"/>
      <c r="E839" s="68"/>
      <c r="F839" s="95"/>
      <c r="G839" s="21"/>
    </row>
    <row r="840" spans="2:7" s="32" customFormat="1" x14ac:dyDescent="0.25">
      <c r="B840" s="39"/>
      <c r="D840" s="59"/>
      <c r="E840" s="68"/>
      <c r="F840" s="95"/>
      <c r="G840" s="21"/>
    </row>
    <row r="841" spans="2:7" s="32" customFormat="1" x14ac:dyDescent="0.25">
      <c r="B841" s="39"/>
      <c r="D841" s="59"/>
      <c r="E841" s="68"/>
      <c r="F841" s="95"/>
      <c r="G841" s="21"/>
    </row>
    <row r="842" spans="2:7" s="32" customFormat="1" x14ac:dyDescent="0.25">
      <c r="B842" s="39"/>
      <c r="D842" s="59"/>
      <c r="E842" s="68"/>
      <c r="F842" s="95"/>
      <c r="G842" s="21"/>
    </row>
    <row r="843" spans="2:7" s="32" customFormat="1" x14ac:dyDescent="0.25">
      <c r="B843" s="39"/>
      <c r="D843" s="59"/>
      <c r="E843" s="68"/>
      <c r="F843" s="95"/>
      <c r="G843" s="21"/>
    </row>
    <row r="844" spans="2:7" s="32" customFormat="1" x14ac:dyDescent="0.25">
      <c r="B844" s="39"/>
      <c r="D844" s="59"/>
      <c r="E844" s="68"/>
      <c r="F844" s="95"/>
      <c r="G844" s="21"/>
    </row>
    <row r="845" spans="2:7" s="32" customFormat="1" x14ac:dyDescent="0.25">
      <c r="B845" s="39"/>
      <c r="D845" s="59"/>
      <c r="E845" s="68"/>
      <c r="F845" s="95"/>
      <c r="G845" s="21"/>
    </row>
    <row r="846" spans="2:7" s="32" customFormat="1" x14ac:dyDescent="0.25">
      <c r="B846" s="39"/>
      <c r="D846" s="59"/>
      <c r="E846" s="68"/>
      <c r="F846" s="95"/>
      <c r="G846" s="21"/>
    </row>
    <row r="847" spans="2:7" s="32" customFormat="1" x14ac:dyDescent="0.25">
      <c r="B847" s="39"/>
      <c r="D847" s="59"/>
      <c r="E847" s="68"/>
      <c r="F847" s="95"/>
      <c r="G847" s="21"/>
    </row>
    <row r="848" spans="2:7" s="32" customFormat="1" x14ac:dyDescent="0.25">
      <c r="B848" s="39"/>
      <c r="D848" s="59"/>
      <c r="E848" s="68"/>
      <c r="F848" s="95"/>
      <c r="G848" s="21"/>
    </row>
    <row r="849" spans="2:7" s="32" customFormat="1" x14ac:dyDescent="0.25">
      <c r="B849" s="39"/>
      <c r="D849" s="59"/>
      <c r="E849" s="68"/>
      <c r="F849" s="95"/>
      <c r="G849" s="21"/>
    </row>
    <row r="850" spans="2:7" s="32" customFormat="1" x14ac:dyDescent="0.25">
      <c r="B850" s="39"/>
      <c r="D850" s="59"/>
      <c r="E850" s="68"/>
      <c r="F850" s="95"/>
      <c r="G850" s="21"/>
    </row>
    <row r="851" spans="2:7" s="32" customFormat="1" x14ac:dyDescent="0.25">
      <c r="B851" s="39"/>
      <c r="D851" s="59"/>
      <c r="E851" s="68"/>
      <c r="F851" s="95"/>
      <c r="G851" s="21"/>
    </row>
    <row r="852" spans="2:7" s="32" customFormat="1" x14ac:dyDescent="0.25">
      <c r="B852" s="39"/>
      <c r="D852" s="59"/>
      <c r="E852" s="68"/>
      <c r="F852" s="95"/>
      <c r="G852" s="21"/>
    </row>
    <row r="853" spans="2:7" s="32" customFormat="1" x14ac:dyDescent="0.25">
      <c r="B853" s="39"/>
      <c r="D853" s="59"/>
      <c r="E853" s="68"/>
      <c r="F853" s="95"/>
      <c r="G853" s="21"/>
    </row>
    <row r="854" spans="2:7" s="32" customFormat="1" x14ac:dyDescent="0.25">
      <c r="B854" s="39"/>
      <c r="D854" s="59"/>
      <c r="E854" s="68"/>
      <c r="F854" s="95"/>
      <c r="G854" s="21"/>
    </row>
    <row r="855" spans="2:7" s="32" customFormat="1" x14ac:dyDescent="0.25">
      <c r="B855" s="39"/>
      <c r="D855" s="59"/>
      <c r="E855" s="68"/>
      <c r="F855" s="95"/>
      <c r="G855" s="21"/>
    </row>
    <row r="856" spans="2:7" s="32" customFormat="1" x14ac:dyDescent="0.25">
      <c r="B856" s="39"/>
      <c r="D856" s="59"/>
      <c r="E856" s="68"/>
      <c r="F856" s="95"/>
      <c r="G856" s="21"/>
    </row>
    <row r="857" spans="2:7" s="32" customFormat="1" x14ac:dyDescent="0.25">
      <c r="B857" s="39"/>
      <c r="D857" s="59"/>
      <c r="E857" s="68"/>
      <c r="F857" s="95"/>
      <c r="G857" s="21"/>
    </row>
    <row r="858" spans="2:7" s="32" customFormat="1" x14ac:dyDescent="0.25">
      <c r="B858" s="39"/>
      <c r="D858" s="59"/>
      <c r="E858" s="68"/>
      <c r="F858" s="95"/>
      <c r="G858" s="21"/>
    </row>
    <row r="859" spans="2:7" s="32" customFormat="1" x14ac:dyDescent="0.25">
      <c r="B859" s="39"/>
      <c r="D859" s="59"/>
      <c r="E859" s="68"/>
      <c r="F859" s="95"/>
      <c r="G859" s="21"/>
    </row>
    <row r="860" spans="2:7" s="32" customFormat="1" x14ac:dyDescent="0.25">
      <c r="B860" s="39"/>
      <c r="D860" s="59"/>
      <c r="E860" s="68"/>
      <c r="F860" s="95"/>
      <c r="G860" s="21"/>
    </row>
    <row r="861" spans="2:7" s="32" customFormat="1" x14ac:dyDescent="0.25">
      <c r="B861" s="39"/>
      <c r="D861" s="59"/>
      <c r="E861" s="68"/>
      <c r="F861" s="95"/>
      <c r="G861" s="21"/>
    </row>
    <row r="862" spans="2:7" s="32" customFormat="1" x14ac:dyDescent="0.25">
      <c r="B862" s="39"/>
      <c r="D862" s="59"/>
      <c r="E862" s="68"/>
      <c r="F862" s="95"/>
      <c r="G862" s="21"/>
    </row>
    <row r="863" spans="2:7" s="32" customFormat="1" x14ac:dyDescent="0.25">
      <c r="B863" s="39"/>
      <c r="D863" s="59"/>
      <c r="E863" s="68"/>
      <c r="F863" s="95"/>
      <c r="G863" s="21"/>
    </row>
    <row r="864" spans="2:7" s="32" customFormat="1" x14ac:dyDescent="0.25">
      <c r="B864" s="39"/>
      <c r="D864" s="59"/>
      <c r="E864" s="68"/>
      <c r="F864" s="95"/>
      <c r="G864" s="21"/>
    </row>
    <row r="865" spans="2:7" s="32" customFormat="1" x14ac:dyDescent="0.25">
      <c r="B865" s="39"/>
      <c r="D865" s="59"/>
      <c r="E865" s="68"/>
      <c r="F865" s="95"/>
      <c r="G865" s="21"/>
    </row>
    <row r="866" spans="2:7" s="32" customFormat="1" x14ac:dyDescent="0.25">
      <c r="B866" s="39"/>
      <c r="D866" s="59"/>
      <c r="E866" s="68"/>
      <c r="F866" s="95"/>
      <c r="G866" s="21"/>
    </row>
    <row r="867" spans="2:7" s="32" customFormat="1" x14ac:dyDescent="0.25">
      <c r="B867" s="39"/>
      <c r="D867" s="59"/>
      <c r="E867" s="68"/>
      <c r="F867" s="95"/>
      <c r="G867" s="21"/>
    </row>
    <row r="868" spans="2:7" s="32" customFormat="1" x14ac:dyDescent="0.25">
      <c r="B868" s="39"/>
      <c r="D868" s="59"/>
      <c r="E868" s="68"/>
      <c r="F868" s="95"/>
      <c r="G868" s="21"/>
    </row>
    <row r="869" spans="2:7" s="32" customFormat="1" x14ac:dyDescent="0.25">
      <c r="B869" s="39"/>
      <c r="D869" s="59"/>
      <c r="E869" s="68"/>
      <c r="F869" s="95"/>
      <c r="G869" s="21"/>
    </row>
    <row r="870" spans="2:7" s="32" customFormat="1" x14ac:dyDescent="0.25">
      <c r="B870" s="39"/>
      <c r="D870" s="59"/>
      <c r="E870" s="68"/>
      <c r="F870" s="95"/>
      <c r="G870" s="21"/>
    </row>
    <row r="871" spans="2:7" s="32" customFormat="1" x14ac:dyDescent="0.25">
      <c r="B871" s="39"/>
      <c r="D871" s="59"/>
      <c r="E871" s="68"/>
      <c r="F871" s="95"/>
      <c r="G871" s="21"/>
    </row>
    <row r="872" spans="2:7" s="32" customFormat="1" x14ac:dyDescent="0.25">
      <c r="B872" s="39"/>
      <c r="D872" s="59"/>
      <c r="E872" s="68"/>
      <c r="F872" s="95"/>
      <c r="G872" s="21"/>
    </row>
    <row r="873" spans="2:7" s="32" customFormat="1" x14ac:dyDescent="0.25">
      <c r="B873" s="39"/>
      <c r="D873" s="59"/>
      <c r="E873" s="68"/>
      <c r="F873" s="95"/>
      <c r="G873" s="21"/>
    </row>
    <row r="874" spans="2:7" s="32" customFormat="1" x14ac:dyDescent="0.25">
      <c r="B874" s="39"/>
      <c r="D874" s="59"/>
      <c r="E874" s="68"/>
      <c r="F874" s="95"/>
      <c r="G874" s="21"/>
    </row>
    <row r="875" spans="2:7" s="32" customFormat="1" x14ac:dyDescent="0.25">
      <c r="B875" s="39"/>
      <c r="D875" s="59"/>
      <c r="E875" s="68"/>
      <c r="F875" s="95"/>
      <c r="G875" s="21"/>
    </row>
    <row r="876" spans="2:7" s="32" customFormat="1" x14ac:dyDescent="0.25">
      <c r="B876" s="39"/>
      <c r="D876" s="59"/>
      <c r="E876" s="68"/>
      <c r="F876" s="95"/>
      <c r="G876" s="21"/>
    </row>
    <row r="877" spans="2:7" s="32" customFormat="1" x14ac:dyDescent="0.25">
      <c r="B877" s="39"/>
      <c r="D877" s="59"/>
      <c r="E877" s="68"/>
      <c r="F877" s="95"/>
      <c r="G877" s="21"/>
    </row>
    <row r="878" spans="2:7" s="32" customFormat="1" x14ac:dyDescent="0.25">
      <c r="B878" s="39"/>
      <c r="D878" s="59"/>
      <c r="E878" s="68"/>
      <c r="F878" s="95"/>
      <c r="G878" s="21"/>
    </row>
    <row r="879" spans="2:7" s="32" customFormat="1" x14ac:dyDescent="0.25">
      <c r="B879" s="39"/>
      <c r="D879" s="59"/>
      <c r="E879" s="68"/>
      <c r="F879" s="95"/>
      <c r="G879" s="21"/>
    </row>
    <row r="880" spans="2:7" s="32" customFormat="1" x14ac:dyDescent="0.25">
      <c r="B880" s="39"/>
      <c r="D880" s="59"/>
      <c r="E880" s="68"/>
      <c r="F880" s="95"/>
      <c r="G880" s="21"/>
    </row>
    <row r="881" spans="2:7" s="32" customFormat="1" x14ac:dyDescent="0.25">
      <c r="B881" s="39"/>
      <c r="D881" s="59"/>
      <c r="E881" s="68"/>
      <c r="F881" s="95"/>
      <c r="G881" s="21"/>
    </row>
    <row r="882" spans="2:7" s="32" customFormat="1" x14ac:dyDescent="0.25">
      <c r="B882" s="39"/>
      <c r="D882" s="59"/>
      <c r="E882" s="68"/>
      <c r="F882" s="95"/>
      <c r="G882" s="21"/>
    </row>
    <row r="883" spans="2:7" s="32" customFormat="1" x14ac:dyDescent="0.25">
      <c r="B883" s="39"/>
      <c r="D883" s="59"/>
      <c r="E883" s="68"/>
      <c r="F883" s="95"/>
      <c r="G883" s="21"/>
    </row>
    <row r="884" spans="2:7" s="32" customFormat="1" x14ac:dyDescent="0.25">
      <c r="B884" s="39"/>
      <c r="D884" s="59"/>
      <c r="E884" s="68"/>
      <c r="F884" s="95"/>
      <c r="G884" s="21"/>
    </row>
    <row r="885" spans="2:7" s="32" customFormat="1" x14ac:dyDescent="0.25">
      <c r="B885" s="39"/>
      <c r="D885" s="59"/>
      <c r="E885" s="68"/>
      <c r="F885" s="95"/>
      <c r="G885" s="21"/>
    </row>
    <row r="886" spans="2:7" s="32" customFormat="1" x14ac:dyDescent="0.25">
      <c r="B886" s="39"/>
      <c r="D886" s="59"/>
      <c r="E886" s="68"/>
      <c r="F886" s="95"/>
      <c r="G886" s="21"/>
    </row>
    <row r="887" spans="2:7" s="32" customFormat="1" x14ac:dyDescent="0.25">
      <c r="B887" s="39"/>
      <c r="D887" s="59"/>
      <c r="E887" s="68"/>
      <c r="F887" s="95"/>
      <c r="G887" s="21"/>
    </row>
    <row r="888" spans="2:7" s="32" customFormat="1" x14ac:dyDescent="0.25">
      <c r="B888" s="39"/>
      <c r="D888" s="59"/>
      <c r="E888" s="68"/>
      <c r="F888" s="95"/>
      <c r="G888" s="21"/>
    </row>
    <row r="889" spans="2:7" s="32" customFormat="1" x14ac:dyDescent="0.25">
      <c r="B889" s="39"/>
      <c r="D889" s="59"/>
      <c r="E889" s="68"/>
      <c r="F889" s="95"/>
      <c r="G889" s="21"/>
    </row>
    <row r="890" spans="2:7" s="32" customFormat="1" x14ac:dyDescent="0.25">
      <c r="B890" s="39"/>
      <c r="D890" s="59"/>
      <c r="E890" s="68"/>
      <c r="F890" s="95"/>
      <c r="G890" s="21"/>
    </row>
    <row r="891" spans="2:7" s="32" customFormat="1" x14ac:dyDescent="0.25">
      <c r="B891" s="39"/>
      <c r="D891" s="59"/>
      <c r="E891" s="68"/>
      <c r="F891" s="95"/>
      <c r="G891" s="21"/>
    </row>
    <row r="892" spans="2:7" s="32" customFormat="1" x14ac:dyDescent="0.25">
      <c r="B892" s="39"/>
      <c r="D892" s="59"/>
      <c r="E892" s="68"/>
      <c r="F892" s="95"/>
      <c r="G892" s="21"/>
    </row>
    <row r="893" spans="2:7" s="32" customFormat="1" x14ac:dyDescent="0.25">
      <c r="B893" s="39"/>
      <c r="D893" s="59"/>
      <c r="E893" s="68"/>
      <c r="F893" s="95"/>
      <c r="G893" s="21"/>
    </row>
    <row r="894" spans="2:7" s="32" customFormat="1" x14ac:dyDescent="0.25">
      <c r="B894" s="39"/>
      <c r="D894" s="59"/>
      <c r="E894" s="68"/>
      <c r="F894" s="95"/>
      <c r="G894" s="21"/>
    </row>
    <row r="895" spans="2:7" s="32" customFormat="1" x14ac:dyDescent="0.25">
      <c r="B895" s="39"/>
      <c r="D895" s="59"/>
      <c r="E895" s="68"/>
      <c r="F895" s="95"/>
      <c r="G895" s="21"/>
    </row>
    <row r="896" spans="2:7" s="32" customFormat="1" x14ac:dyDescent="0.25">
      <c r="B896" s="39"/>
      <c r="D896" s="59"/>
      <c r="E896" s="68"/>
      <c r="F896" s="95"/>
      <c r="G896" s="21"/>
    </row>
    <row r="897" spans="2:7" s="32" customFormat="1" x14ac:dyDescent="0.25">
      <c r="B897" s="39"/>
      <c r="D897" s="59"/>
      <c r="E897" s="68"/>
      <c r="F897" s="95"/>
      <c r="G897" s="21"/>
    </row>
    <row r="898" spans="2:7" s="32" customFormat="1" x14ac:dyDescent="0.25">
      <c r="B898" s="39"/>
      <c r="D898" s="59"/>
      <c r="E898" s="68"/>
      <c r="F898" s="95"/>
      <c r="G898" s="21"/>
    </row>
    <row r="899" spans="2:7" s="32" customFormat="1" x14ac:dyDescent="0.25">
      <c r="B899" s="39"/>
      <c r="D899" s="59"/>
      <c r="E899" s="68"/>
      <c r="F899" s="95"/>
      <c r="G899" s="21"/>
    </row>
    <row r="900" spans="2:7" s="32" customFormat="1" x14ac:dyDescent="0.25">
      <c r="B900" s="39"/>
      <c r="D900" s="59"/>
      <c r="E900" s="68"/>
      <c r="F900" s="95"/>
      <c r="G900" s="21"/>
    </row>
    <row r="901" spans="2:7" s="32" customFormat="1" x14ac:dyDescent="0.25">
      <c r="B901" s="39"/>
      <c r="D901" s="59"/>
      <c r="E901" s="68"/>
      <c r="F901" s="95"/>
      <c r="G901" s="21"/>
    </row>
    <row r="902" spans="2:7" s="32" customFormat="1" x14ac:dyDescent="0.25">
      <c r="B902" s="39"/>
      <c r="D902" s="59"/>
      <c r="E902" s="68"/>
      <c r="F902" s="95"/>
      <c r="G902" s="21"/>
    </row>
    <row r="903" spans="2:7" s="32" customFormat="1" x14ac:dyDescent="0.25">
      <c r="B903" s="39"/>
      <c r="D903" s="59"/>
      <c r="E903" s="68"/>
      <c r="F903" s="95"/>
      <c r="G903" s="21"/>
    </row>
    <row r="904" spans="2:7" s="32" customFormat="1" x14ac:dyDescent="0.25">
      <c r="B904" s="39"/>
      <c r="D904" s="59"/>
      <c r="E904" s="68"/>
      <c r="F904" s="95"/>
      <c r="G904" s="21"/>
    </row>
    <row r="905" spans="2:7" s="32" customFormat="1" x14ac:dyDescent="0.25">
      <c r="B905" s="39"/>
      <c r="D905" s="59"/>
      <c r="E905" s="68"/>
      <c r="F905" s="95"/>
      <c r="G905" s="21"/>
    </row>
    <row r="906" spans="2:7" s="32" customFormat="1" x14ac:dyDescent="0.25">
      <c r="B906" s="39"/>
      <c r="D906" s="59"/>
      <c r="E906" s="68"/>
      <c r="F906" s="95"/>
      <c r="G906" s="21"/>
    </row>
    <row r="907" spans="2:7" s="32" customFormat="1" x14ac:dyDescent="0.25">
      <c r="B907" s="39"/>
      <c r="D907" s="59"/>
      <c r="E907" s="68"/>
      <c r="F907" s="95"/>
      <c r="G907" s="21"/>
    </row>
  </sheetData>
  <mergeCells count="16">
    <mergeCell ref="A13:F13"/>
    <mergeCell ref="B14:E14"/>
    <mergeCell ref="A15:F15"/>
    <mergeCell ref="B16:E16"/>
    <mergeCell ref="A1:F1"/>
    <mergeCell ref="A7:F7"/>
    <mergeCell ref="B8:E8"/>
    <mergeCell ref="A9:F9"/>
    <mergeCell ref="B10:E10"/>
    <mergeCell ref="A11:F11"/>
    <mergeCell ref="B12:E12"/>
    <mergeCell ref="A2:F2"/>
    <mergeCell ref="A3:F3"/>
    <mergeCell ref="B4:E4"/>
    <mergeCell ref="A5:F5"/>
    <mergeCell ref="B6:E6"/>
  </mergeCells>
  <pageMargins left="0.51181102362204722" right="0.39370078740157483" top="0.94488188976377963" bottom="0.74803149606299213" header="0.23622047244094491" footer="0.31496062992125984"/>
  <pageSetup paperSize="9" scale="98" firstPageNumber="72"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H - Summary</oddHeader>
    <oddFooter>&amp;L&amp;"Arial,Regular"&amp;9Bill of Quantities&amp;R&amp;"Arial,Regular"&amp;9BOQ.&amp;P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BE54-74D0-4120-BD10-D1C67E00D1B3}">
  <dimension ref="A1:J1148"/>
  <sheetViews>
    <sheetView view="pageBreakPreview" topLeftCell="A1132" zoomScale="130" zoomScaleNormal="115" zoomScaleSheetLayoutView="130" workbookViewId="0">
      <selection activeCell="D1110" sqref="D1110"/>
    </sheetView>
  </sheetViews>
  <sheetFormatPr defaultColWidth="9.140625" defaultRowHeight="12" x14ac:dyDescent="0.25"/>
  <cols>
    <col min="1" max="1" width="7.85546875" style="226" customWidth="1"/>
    <col min="2" max="2" width="9.42578125" style="342" customWidth="1"/>
    <col min="3" max="3" width="35.7109375" style="213" customWidth="1"/>
    <col min="4" max="4" width="5" style="226" customWidth="1"/>
    <col min="5" max="5" width="6.28515625" style="224" customWidth="1"/>
    <col min="6" max="6" width="11.85546875" style="127" customWidth="1"/>
    <col min="7" max="7" width="17.5703125" style="504" customWidth="1"/>
    <col min="8" max="8" width="26.7109375" style="509" customWidth="1"/>
    <col min="9" max="9" width="11" style="203" bestFit="1" customWidth="1"/>
    <col min="10" max="16384" width="9.140625" style="203"/>
  </cols>
  <sheetData>
    <row r="1" spans="1:7" ht="15" customHeight="1" x14ac:dyDescent="0.25">
      <c r="A1" s="201"/>
      <c r="B1" s="202"/>
      <c r="C1" s="540" t="s">
        <v>968</v>
      </c>
      <c r="D1" s="540"/>
      <c r="E1" s="540"/>
      <c r="F1" s="540"/>
      <c r="G1" s="541"/>
    </row>
    <row r="2" spans="1:7" ht="27.75" customHeight="1" x14ac:dyDescent="0.25">
      <c r="A2" s="73" t="s">
        <v>1676</v>
      </c>
      <c r="B2" s="31" t="s">
        <v>21</v>
      </c>
      <c r="C2" s="148" t="s">
        <v>0</v>
      </c>
      <c r="D2" s="73" t="s">
        <v>1</v>
      </c>
      <c r="E2" s="74" t="s">
        <v>22</v>
      </c>
      <c r="F2" s="63" t="s">
        <v>2</v>
      </c>
      <c r="G2" s="492" t="s">
        <v>77</v>
      </c>
    </row>
    <row r="3" spans="1:7" x14ac:dyDescent="0.25">
      <c r="A3" s="424"/>
      <c r="B3" s="205"/>
      <c r="C3" s="405"/>
      <c r="D3" s="205"/>
      <c r="E3" s="425"/>
      <c r="F3" s="431"/>
      <c r="G3" s="493"/>
    </row>
    <row r="4" spans="1:7" ht="15" customHeight="1" x14ac:dyDescent="0.25">
      <c r="A4" s="329" t="s">
        <v>240</v>
      </c>
      <c r="B4" s="207"/>
      <c r="C4" s="284" t="s">
        <v>935</v>
      </c>
      <c r="D4" s="207"/>
      <c r="E4" s="208"/>
      <c r="F4" s="123"/>
      <c r="G4" s="494"/>
    </row>
    <row r="5" spans="1:7" x14ac:dyDescent="0.25">
      <c r="A5" s="424"/>
      <c r="B5" s="205"/>
      <c r="C5" s="405"/>
      <c r="D5" s="205"/>
      <c r="E5" s="425"/>
      <c r="F5" s="431"/>
      <c r="G5" s="493"/>
    </row>
    <row r="6" spans="1:7" ht="24" x14ac:dyDescent="0.25">
      <c r="A6" s="231" t="s">
        <v>389</v>
      </c>
      <c r="B6" s="207" t="s">
        <v>14</v>
      </c>
      <c r="C6" s="38" t="s">
        <v>388</v>
      </c>
      <c r="D6" s="207"/>
      <c r="E6" s="186"/>
      <c r="F6" s="122"/>
      <c r="G6" s="209"/>
    </row>
    <row r="7" spans="1:7" x14ac:dyDescent="0.25">
      <c r="A7" s="424"/>
      <c r="B7" s="205"/>
      <c r="C7" s="405"/>
      <c r="D7" s="205"/>
      <c r="E7" s="425"/>
      <c r="F7" s="431"/>
      <c r="G7" s="493"/>
    </row>
    <row r="8" spans="1:7" x14ac:dyDescent="0.25">
      <c r="A8" s="108" t="s">
        <v>1677</v>
      </c>
      <c r="B8" s="210" t="s">
        <v>2203</v>
      </c>
      <c r="C8" s="119" t="s">
        <v>387</v>
      </c>
      <c r="D8" s="210" t="s">
        <v>371</v>
      </c>
      <c r="E8" s="211">
        <v>0.4</v>
      </c>
      <c r="F8" s="122"/>
      <c r="G8" s="209"/>
    </row>
    <row r="9" spans="1:7" x14ac:dyDescent="0.25">
      <c r="A9" s="424"/>
      <c r="B9" s="205"/>
      <c r="C9" s="405"/>
      <c r="D9" s="205"/>
      <c r="E9" s="425"/>
      <c r="F9" s="431"/>
      <c r="G9" s="493"/>
    </row>
    <row r="10" spans="1:7" ht="27" customHeight="1" x14ac:dyDescent="0.25">
      <c r="A10" s="108"/>
      <c r="B10" s="207" t="s">
        <v>7</v>
      </c>
      <c r="C10" s="38" t="s">
        <v>2306</v>
      </c>
      <c r="D10" s="210"/>
      <c r="E10" s="211"/>
      <c r="F10" s="122"/>
      <c r="G10" s="209"/>
    </row>
    <row r="11" spans="1:7" x14ac:dyDescent="0.25">
      <c r="A11" s="424"/>
      <c r="B11" s="205"/>
      <c r="C11" s="405"/>
      <c r="D11" s="205"/>
      <c r="E11" s="425"/>
      <c r="F11" s="431"/>
      <c r="G11" s="493"/>
    </row>
    <row r="12" spans="1:7" ht="15" customHeight="1" x14ac:dyDescent="0.25">
      <c r="A12" s="108" t="s">
        <v>1678</v>
      </c>
      <c r="B12" s="210"/>
      <c r="C12" s="119" t="s">
        <v>370</v>
      </c>
      <c r="D12" s="210" t="s">
        <v>8</v>
      </c>
      <c r="E12" s="211">
        <v>1</v>
      </c>
      <c r="F12" s="122"/>
      <c r="G12" s="209"/>
    </row>
    <row r="13" spans="1:7" x14ac:dyDescent="0.25">
      <c r="A13" s="424"/>
      <c r="B13" s="205"/>
      <c r="C13" s="405"/>
      <c r="D13" s="205"/>
      <c r="E13" s="425"/>
      <c r="F13" s="431"/>
      <c r="G13" s="493"/>
    </row>
    <row r="14" spans="1:7" x14ac:dyDescent="0.25">
      <c r="A14" s="108" t="s">
        <v>1679</v>
      </c>
      <c r="B14" s="210"/>
      <c r="C14" s="50" t="s">
        <v>369</v>
      </c>
      <c r="D14" s="210" t="s">
        <v>8</v>
      </c>
      <c r="E14" s="211">
        <v>2</v>
      </c>
      <c r="F14" s="122"/>
      <c r="G14" s="209"/>
    </row>
    <row r="15" spans="1:7" x14ac:dyDescent="0.25">
      <c r="A15" s="424"/>
      <c r="B15" s="205"/>
      <c r="C15" s="405"/>
      <c r="D15" s="205"/>
      <c r="E15" s="425"/>
      <c r="F15" s="431"/>
      <c r="G15" s="493"/>
    </row>
    <row r="16" spans="1:7" ht="24" x14ac:dyDescent="0.25">
      <c r="A16" s="214" t="s">
        <v>1680</v>
      </c>
      <c r="B16" s="210" t="s">
        <v>163</v>
      </c>
      <c r="C16" s="119" t="s">
        <v>164</v>
      </c>
      <c r="D16" s="210" t="s">
        <v>6</v>
      </c>
      <c r="E16" s="187">
        <v>30</v>
      </c>
      <c r="F16" s="122"/>
      <c r="G16" s="209"/>
    </row>
    <row r="17" spans="1:7" ht="15" customHeight="1" x14ac:dyDescent="0.25">
      <c r="A17" s="424"/>
      <c r="B17" s="205"/>
      <c r="C17" s="405"/>
      <c r="D17" s="205"/>
      <c r="E17" s="425"/>
      <c r="F17" s="431"/>
      <c r="G17" s="493"/>
    </row>
    <row r="18" spans="1:7" ht="36" x14ac:dyDescent="0.25">
      <c r="A18" s="214" t="s">
        <v>1681</v>
      </c>
      <c r="B18" s="210" t="s">
        <v>2184</v>
      </c>
      <c r="C18" s="213" t="s">
        <v>2204</v>
      </c>
      <c r="D18" s="214" t="s">
        <v>88</v>
      </c>
      <c r="E18" s="187">
        <v>10</v>
      </c>
      <c r="F18" s="122"/>
      <c r="G18" s="209"/>
    </row>
    <row r="19" spans="1:7" x14ac:dyDescent="0.25">
      <c r="A19" s="424"/>
      <c r="B19" s="205"/>
      <c r="C19" s="405"/>
      <c r="D19" s="205"/>
      <c r="E19" s="425"/>
      <c r="F19" s="431"/>
      <c r="G19" s="493"/>
    </row>
    <row r="20" spans="1:7" ht="24" x14ac:dyDescent="0.25">
      <c r="A20" s="214" t="s">
        <v>1682</v>
      </c>
      <c r="B20" s="210" t="s">
        <v>2206</v>
      </c>
      <c r="C20" s="213" t="s">
        <v>2205</v>
      </c>
      <c r="D20" s="249" t="s">
        <v>87</v>
      </c>
      <c r="E20" s="187">
        <v>35</v>
      </c>
      <c r="F20" s="122"/>
      <c r="G20" s="209"/>
    </row>
    <row r="21" spans="1:7" x14ac:dyDescent="0.25">
      <c r="A21" s="424"/>
      <c r="B21" s="205"/>
      <c r="C21" s="405"/>
      <c r="D21" s="205"/>
      <c r="E21" s="425"/>
      <c r="F21" s="431"/>
      <c r="G21" s="493"/>
    </row>
    <row r="22" spans="1:7" ht="36" x14ac:dyDescent="0.25">
      <c r="A22" s="214"/>
      <c r="B22" s="210" t="s">
        <v>2184</v>
      </c>
      <c r="C22" s="119" t="s">
        <v>368</v>
      </c>
      <c r="D22" s="210"/>
      <c r="E22" s="187"/>
      <c r="F22" s="122"/>
      <c r="G22" s="209"/>
    </row>
    <row r="23" spans="1:7" x14ac:dyDescent="0.25">
      <c r="A23" s="424"/>
      <c r="B23" s="205"/>
      <c r="C23" s="405"/>
      <c r="D23" s="205"/>
      <c r="E23" s="425"/>
      <c r="F23" s="431"/>
      <c r="G23" s="493"/>
    </row>
    <row r="24" spans="1:7" ht="12.75" customHeight="1" x14ac:dyDescent="0.25">
      <c r="A24" s="214" t="s">
        <v>1683</v>
      </c>
      <c r="B24" s="210"/>
      <c r="C24" s="119" t="s">
        <v>367</v>
      </c>
      <c r="D24" s="210" t="s">
        <v>8</v>
      </c>
      <c r="E24" s="187">
        <v>2</v>
      </c>
      <c r="F24" s="122"/>
      <c r="G24" s="209"/>
    </row>
    <row r="25" spans="1:7" ht="12" customHeight="1" x14ac:dyDescent="0.25">
      <c r="A25" s="424"/>
      <c r="B25" s="205"/>
      <c r="C25" s="405"/>
      <c r="D25" s="205"/>
      <c r="E25" s="425"/>
      <c r="F25" s="431"/>
      <c r="G25" s="493"/>
    </row>
    <row r="26" spans="1:7" x14ac:dyDescent="0.25">
      <c r="A26" s="214" t="s">
        <v>1836</v>
      </c>
      <c r="B26" s="210"/>
      <c r="C26" s="119" t="s">
        <v>366</v>
      </c>
      <c r="D26" s="210" t="s">
        <v>8</v>
      </c>
      <c r="E26" s="187">
        <v>1</v>
      </c>
      <c r="F26" s="122"/>
      <c r="G26" s="209"/>
    </row>
    <row r="27" spans="1:7" x14ac:dyDescent="0.25">
      <c r="A27" s="424"/>
      <c r="B27" s="205"/>
      <c r="C27" s="405"/>
      <c r="D27" s="205"/>
      <c r="E27" s="425"/>
      <c r="F27" s="431"/>
      <c r="G27" s="493"/>
    </row>
    <row r="28" spans="1:7" ht="24" x14ac:dyDescent="0.25">
      <c r="A28" s="214" t="s">
        <v>1837</v>
      </c>
      <c r="B28" s="210" t="s">
        <v>2184</v>
      </c>
      <c r="C28" s="119" t="s">
        <v>365</v>
      </c>
      <c r="D28" s="210" t="s">
        <v>8</v>
      </c>
      <c r="E28" s="187">
        <v>2</v>
      </c>
      <c r="F28" s="122"/>
      <c r="G28" s="209"/>
    </row>
    <row r="29" spans="1:7" x14ac:dyDescent="0.25">
      <c r="A29" s="424"/>
      <c r="B29" s="205"/>
      <c r="C29" s="405"/>
      <c r="D29" s="205"/>
      <c r="E29" s="425"/>
      <c r="F29" s="431"/>
      <c r="G29" s="493"/>
    </row>
    <row r="30" spans="1:7" ht="22.5" customHeight="1" x14ac:dyDescent="0.25">
      <c r="A30" s="340" t="s">
        <v>1838</v>
      </c>
      <c r="B30" s="138" t="s">
        <v>2207</v>
      </c>
      <c r="C30" s="60" t="s">
        <v>2208</v>
      </c>
      <c r="D30" s="52"/>
      <c r="E30" s="187"/>
      <c r="F30" s="123"/>
      <c r="G30" s="495"/>
    </row>
    <row r="31" spans="1:7" x14ac:dyDescent="0.25">
      <c r="A31" s="424"/>
      <c r="B31" s="205"/>
      <c r="C31" s="405"/>
      <c r="D31" s="205"/>
      <c r="E31" s="425"/>
      <c r="F31" s="431"/>
      <c r="G31" s="493"/>
    </row>
    <row r="32" spans="1:7" ht="23.25" customHeight="1" x14ac:dyDescent="0.25">
      <c r="A32" s="109" t="s">
        <v>1684</v>
      </c>
      <c r="B32" s="51" t="s">
        <v>2211</v>
      </c>
      <c r="C32" s="50" t="s">
        <v>2212</v>
      </c>
      <c r="D32" s="142" t="s">
        <v>87</v>
      </c>
      <c r="E32" s="187">
        <v>500</v>
      </c>
      <c r="F32" s="123"/>
      <c r="G32" s="209"/>
    </row>
    <row r="33" spans="1:8" x14ac:dyDescent="0.25">
      <c r="A33" s="424"/>
      <c r="B33" s="205"/>
      <c r="C33" s="405"/>
      <c r="D33" s="205"/>
      <c r="E33" s="425"/>
      <c r="F33" s="431"/>
      <c r="G33" s="493"/>
    </row>
    <row r="34" spans="1:8" ht="27" customHeight="1" x14ac:dyDescent="0.25">
      <c r="A34" s="109" t="s">
        <v>1685</v>
      </c>
      <c r="B34" s="51" t="s">
        <v>11</v>
      </c>
      <c r="C34" s="50" t="s">
        <v>2209</v>
      </c>
      <c r="D34" s="214" t="s">
        <v>88</v>
      </c>
      <c r="E34" s="187">
        <v>280</v>
      </c>
      <c r="F34" s="123"/>
      <c r="G34" s="209"/>
    </row>
    <row r="35" spans="1:8" ht="12" customHeight="1" x14ac:dyDescent="0.25">
      <c r="A35" s="424"/>
      <c r="B35" s="205"/>
      <c r="C35" s="405"/>
      <c r="D35" s="205"/>
      <c r="E35" s="425"/>
      <c r="F35" s="431"/>
      <c r="G35" s="493"/>
    </row>
    <row r="36" spans="1:8" ht="12" customHeight="1" x14ac:dyDescent="0.25">
      <c r="A36" s="227"/>
      <c r="B36" s="207"/>
      <c r="C36" s="38" t="s">
        <v>2210</v>
      </c>
      <c r="D36" s="207"/>
      <c r="E36" s="208"/>
      <c r="F36" s="123"/>
      <c r="G36" s="494"/>
    </row>
    <row r="37" spans="1:8" ht="12" customHeight="1" x14ac:dyDescent="0.25">
      <c r="A37" s="424"/>
      <c r="B37" s="205"/>
      <c r="C37" s="405"/>
      <c r="D37" s="205"/>
      <c r="E37" s="425"/>
      <c r="F37" s="431"/>
      <c r="G37" s="493"/>
    </row>
    <row r="38" spans="1:8" ht="15" customHeight="1" x14ac:dyDescent="0.25">
      <c r="A38" s="109" t="s">
        <v>1686</v>
      </c>
      <c r="B38" s="52"/>
      <c r="C38" s="50" t="s">
        <v>291</v>
      </c>
      <c r="D38" s="214" t="s">
        <v>88</v>
      </c>
      <c r="E38" s="187">
        <v>35</v>
      </c>
      <c r="F38" s="123"/>
      <c r="G38" s="209"/>
    </row>
    <row r="39" spans="1:8" x14ac:dyDescent="0.25">
      <c r="A39" s="404"/>
      <c r="B39" s="432"/>
      <c r="C39" s="433"/>
      <c r="D39" s="432"/>
      <c r="E39" s="285"/>
      <c r="F39" s="431"/>
      <c r="G39" s="496"/>
    </row>
    <row r="40" spans="1:8" ht="15" customHeight="1" x14ac:dyDescent="0.25">
      <c r="A40" s="109" t="s">
        <v>1687</v>
      </c>
      <c r="B40" s="52"/>
      <c r="C40" s="50" t="s">
        <v>290</v>
      </c>
      <c r="D40" s="214" t="s">
        <v>88</v>
      </c>
      <c r="E40" s="187">
        <v>20</v>
      </c>
      <c r="F40" s="123"/>
      <c r="G40" s="209"/>
    </row>
    <row r="41" spans="1:8" x14ac:dyDescent="0.25">
      <c r="A41" s="404"/>
      <c r="B41" s="432"/>
      <c r="C41" s="433"/>
      <c r="D41" s="432"/>
      <c r="E41" s="285"/>
      <c r="F41" s="431"/>
      <c r="G41" s="496"/>
    </row>
    <row r="42" spans="1:8" ht="27" customHeight="1" x14ac:dyDescent="0.25">
      <c r="A42" s="109" t="s">
        <v>1688</v>
      </c>
      <c r="B42" s="51" t="s">
        <v>83</v>
      </c>
      <c r="C42" s="50" t="s">
        <v>289</v>
      </c>
      <c r="D42" s="214" t="s">
        <v>88</v>
      </c>
      <c r="E42" s="187">
        <v>60</v>
      </c>
      <c r="F42" s="123"/>
      <c r="G42" s="209"/>
    </row>
    <row r="43" spans="1:8" x14ac:dyDescent="0.25">
      <c r="A43" s="434"/>
      <c r="B43" s="435"/>
      <c r="C43" s="436"/>
      <c r="D43" s="435"/>
      <c r="E43" s="285"/>
      <c r="F43" s="431"/>
      <c r="G43" s="437"/>
    </row>
    <row r="44" spans="1:8" s="21" customFormat="1" ht="28.5" customHeight="1" x14ac:dyDescent="0.25">
      <c r="A44" s="526" t="s">
        <v>609</v>
      </c>
      <c r="B44" s="526"/>
      <c r="C44" s="526"/>
      <c r="D44" s="526"/>
      <c r="E44" s="526"/>
      <c r="F44" s="526"/>
      <c r="G44" s="330"/>
      <c r="H44" s="182"/>
    </row>
    <row r="45" spans="1:8" s="21" customFormat="1" ht="28.5" customHeight="1" x14ac:dyDescent="0.25">
      <c r="A45" s="526" t="s">
        <v>610</v>
      </c>
      <c r="B45" s="526"/>
      <c r="C45" s="526"/>
      <c r="D45" s="526"/>
      <c r="E45" s="526"/>
      <c r="F45" s="526"/>
      <c r="G45" s="330"/>
      <c r="H45" s="182"/>
    </row>
    <row r="46" spans="1:8" x14ac:dyDescent="0.25">
      <c r="A46" s="434"/>
      <c r="B46" s="435"/>
      <c r="C46" s="436"/>
      <c r="D46" s="435"/>
      <c r="E46" s="285"/>
      <c r="F46" s="431"/>
      <c r="G46" s="437"/>
    </row>
    <row r="47" spans="1:8" ht="24" x14ac:dyDescent="0.25">
      <c r="A47" s="109" t="s">
        <v>1689</v>
      </c>
      <c r="B47" s="51" t="s">
        <v>907</v>
      </c>
      <c r="C47" s="50" t="s">
        <v>287</v>
      </c>
      <c r="D47" s="142" t="s">
        <v>87</v>
      </c>
      <c r="E47" s="187">
        <v>200</v>
      </c>
      <c r="F47" s="123"/>
      <c r="G47" s="209"/>
    </row>
    <row r="48" spans="1:8" x14ac:dyDescent="0.25">
      <c r="A48" s="404"/>
      <c r="B48" s="432"/>
      <c r="C48" s="433"/>
      <c r="D48" s="432"/>
      <c r="E48" s="285"/>
      <c r="F48" s="431"/>
      <c r="G48" s="496"/>
    </row>
    <row r="49" spans="1:7" ht="36" x14ac:dyDescent="0.25">
      <c r="A49" s="109" t="s">
        <v>1839</v>
      </c>
      <c r="B49" s="51" t="s">
        <v>2213</v>
      </c>
      <c r="C49" s="50" t="s">
        <v>285</v>
      </c>
      <c r="D49" s="142" t="s">
        <v>87</v>
      </c>
      <c r="E49" s="187">
        <v>200</v>
      </c>
      <c r="F49" s="123"/>
      <c r="G49" s="209"/>
    </row>
    <row r="50" spans="1:7" x14ac:dyDescent="0.25">
      <c r="A50" s="404"/>
      <c r="B50" s="432"/>
      <c r="C50" s="433"/>
      <c r="D50" s="432"/>
      <c r="E50" s="285"/>
      <c r="F50" s="431"/>
      <c r="G50" s="496"/>
    </row>
    <row r="51" spans="1:7" ht="24" x14ac:dyDescent="0.25">
      <c r="A51" s="227" t="s">
        <v>1690</v>
      </c>
      <c r="B51" s="138" t="s">
        <v>386</v>
      </c>
      <c r="C51" s="38" t="s">
        <v>308</v>
      </c>
      <c r="D51" s="210"/>
      <c r="E51" s="219"/>
      <c r="F51" s="123"/>
      <c r="G51" s="209"/>
    </row>
    <row r="52" spans="1:7" x14ac:dyDescent="0.25">
      <c r="A52" s="404"/>
      <c r="B52" s="432"/>
      <c r="C52" s="433"/>
      <c r="D52" s="432"/>
      <c r="E52" s="285"/>
      <c r="F52" s="431"/>
      <c r="G52" s="496"/>
    </row>
    <row r="53" spans="1:7" ht="23.45" customHeight="1" x14ac:dyDescent="0.25">
      <c r="A53" s="108"/>
      <c r="B53" s="153" t="s">
        <v>629</v>
      </c>
      <c r="C53" s="469" t="s">
        <v>2216</v>
      </c>
      <c r="D53" s="52"/>
      <c r="E53" s="187"/>
      <c r="F53" s="123"/>
      <c r="G53" s="495"/>
    </row>
    <row r="54" spans="1:7" x14ac:dyDescent="0.25">
      <c r="A54" s="404"/>
      <c r="B54" s="432"/>
      <c r="C54" s="433"/>
      <c r="D54" s="432"/>
      <c r="E54" s="285"/>
      <c r="F54" s="431"/>
      <c r="G54" s="496"/>
    </row>
    <row r="55" spans="1:7" ht="96" x14ac:dyDescent="0.25">
      <c r="A55" s="109"/>
      <c r="B55" s="51"/>
      <c r="C55" s="67" t="s">
        <v>2214</v>
      </c>
      <c r="D55" s="52"/>
      <c r="E55" s="186"/>
      <c r="F55" s="124"/>
      <c r="G55" s="497"/>
    </row>
    <row r="56" spans="1:7" x14ac:dyDescent="0.25">
      <c r="A56" s="404"/>
      <c r="B56" s="432"/>
      <c r="C56" s="433"/>
      <c r="D56" s="432"/>
      <c r="E56" s="285"/>
      <c r="F56" s="431"/>
      <c r="G56" s="496"/>
    </row>
    <row r="57" spans="1:7" x14ac:dyDescent="0.25">
      <c r="A57" s="109" t="s">
        <v>1691</v>
      </c>
      <c r="B57" s="52"/>
      <c r="C57" s="50" t="s">
        <v>307</v>
      </c>
      <c r="D57" s="51" t="s">
        <v>6</v>
      </c>
      <c r="E57" s="186">
        <v>15</v>
      </c>
      <c r="F57" s="124"/>
      <c r="G57" s="209"/>
    </row>
    <row r="58" spans="1:7" x14ac:dyDescent="0.25">
      <c r="A58" s="404"/>
      <c r="B58" s="432"/>
      <c r="C58" s="433"/>
      <c r="D58" s="432"/>
      <c r="E58" s="285"/>
      <c r="F58" s="431"/>
      <c r="G58" s="496"/>
    </row>
    <row r="59" spans="1:7" x14ac:dyDescent="0.25">
      <c r="A59" s="109" t="s">
        <v>1692</v>
      </c>
      <c r="B59" s="52"/>
      <c r="C59" s="50" t="s">
        <v>2290</v>
      </c>
      <c r="D59" s="51" t="s">
        <v>6</v>
      </c>
      <c r="E59" s="186">
        <v>75</v>
      </c>
      <c r="F59" s="124"/>
      <c r="G59" s="209"/>
    </row>
    <row r="60" spans="1:7" x14ac:dyDescent="0.25">
      <c r="A60" s="404"/>
      <c r="B60" s="432"/>
      <c r="C60" s="433"/>
      <c r="D60" s="432"/>
      <c r="E60" s="285"/>
      <c r="F60" s="431"/>
      <c r="G60" s="496"/>
    </row>
    <row r="61" spans="1:7" x14ac:dyDescent="0.25">
      <c r="A61" s="109" t="s">
        <v>1693</v>
      </c>
      <c r="B61" s="52"/>
      <c r="C61" s="50" t="s">
        <v>385</v>
      </c>
      <c r="D61" s="51" t="s">
        <v>6</v>
      </c>
      <c r="E61" s="186">
        <v>10</v>
      </c>
      <c r="F61" s="124"/>
      <c r="G61" s="209"/>
    </row>
    <row r="62" spans="1:7" x14ac:dyDescent="0.25">
      <c r="A62" s="404"/>
      <c r="B62" s="432"/>
      <c r="C62" s="433"/>
      <c r="D62" s="432"/>
      <c r="E62" s="285"/>
      <c r="F62" s="431"/>
      <c r="G62" s="496"/>
    </row>
    <row r="63" spans="1:7" ht="96" x14ac:dyDescent="0.25">
      <c r="A63" s="109"/>
      <c r="B63" s="51"/>
      <c r="C63" s="67" t="s">
        <v>2215</v>
      </c>
      <c r="D63" s="52"/>
      <c r="E63" s="186"/>
      <c r="F63" s="124"/>
      <c r="G63" s="497"/>
    </row>
    <row r="64" spans="1:7" x14ac:dyDescent="0.25">
      <c r="A64" s="404"/>
      <c r="B64" s="432"/>
      <c r="C64" s="433"/>
      <c r="D64" s="432"/>
      <c r="E64" s="285"/>
      <c r="F64" s="431"/>
      <c r="G64" s="496"/>
    </row>
    <row r="65" spans="1:8" x14ac:dyDescent="0.25">
      <c r="A65" s="109" t="s">
        <v>1694</v>
      </c>
      <c r="B65" s="52"/>
      <c r="C65" s="50" t="s">
        <v>2290</v>
      </c>
      <c r="D65" s="51" t="s">
        <v>6</v>
      </c>
      <c r="E65" s="186">
        <v>5</v>
      </c>
      <c r="F65" s="124"/>
      <c r="G65" s="209"/>
    </row>
    <row r="66" spans="1:8" x14ac:dyDescent="0.25">
      <c r="A66" s="404"/>
      <c r="B66" s="432"/>
      <c r="C66" s="433"/>
      <c r="D66" s="432"/>
      <c r="E66" s="285"/>
      <c r="F66" s="431"/>
      <c r="G66" s="496"/>
    </row>
    <row r="67" spans="1:8" x14ac:dyDescent="0.25">
      <c r="A67" s="109" t="s">
        <v>1840</v>
      </c>
      <c r="B67" s="52"/>
      <c r="C67" s="50" t="s">
        <v>385</v>
      </c>
      <c r="D67" s="51" t="s">
        <v>6</v>
      </c>
      <c r="E67" s="186">
        <v>10</v>
      </c>
      <c r="F67" s="124"/>
      <c r="G67" s="209"/>
    </row>
    <row r="68" spans="1:8" x14ac:dyDescent="0.25">
      <c r="A68" s="404"/>
      <c r="B68" s="432"/>
      <c r="C68" s="433"/>
      <c r="D68" s="432"/>
      <c r="E68" s="285"/>
      <c r="F68" s="431"/>
      <c r="G68" s="496"/>
    </row>
    <row r="69" spans="1:8" x14ac:dyDescent="0.25">
      <c r="A69" s="109"/>
      <c r="B69" s="51"/>
      <c r="C69" s="67" t="s">
        <v>2217</v>
      </c>
      <c r="D69" s="52"/>
      <c r="E69" s="186"/>
      <c r="F69" s="124"/>
      <c r="G69" s="497"/>
    </row>
    <row r="70" spans="1:8" x14ac:dyDescent="0.25">
      <c r="A70" s="404"/>
      <c r="B70" s="432"/>
      <c r="C70" s="433"/>
      <c r="D70" s="432"/>
      <c r="E70" s="285"/>
      <c r="F70" s="431"/>
      <c r="G70" s="496"/>
    </row>
    <row r="71" spans="1:8" ht="13.5" x14ac:dyDescent="0.25">
      <c r="A71" s="109" t="s">
        <v>1841</v>
      </c>
      <c r="B71" s="52"/>
      <c r="C71" s="50" t="s">
        <v>304</v>
      </c>
      <c r="D71" s="214" t="s">
        <v>88</v>
      </c>
      <c r="E71" s="186">
        <v>45</v>
      </c>
      <c r="F71" s="124"/>
      <c r="G71" s="209"/>
    </row>
    <row r="72" spans="1:8" x14ac:dyDescent="0.25">
      <c r="A72" s="404"/>
      <c r="B72" s="432"/>
      <c r="C72" s="433"/>
      <c r="D72" s="432"/>
      <c r="E72" s="285"/>
      <c r="F72" s="431"/>
      <c r="G72" s="496"/>
    </row>
    <row r="73" spans="1:8" ht="13.5" x14ac:dyDescent="0.25">
      <c r="A73" s="109" t="s">
        <v>1783</v>
      </c>
      <c r="B73" s="52"/>
      <c r="C73" s="50" t="s">
        <v>290</v>
      </c>
      <c r="D73" s="214" t="s">
        <v>88</v>
      </c>
      <c r="E73" s="186">
        <v>25</v>
      </c>
      <c r="F73" s="124"/>
      <c r="G73" s="209"/>
    </row>
    <row r="74" spans="1:8" x14ac:dyDescent="0.25">
      <c r="A74" s="404"/>
      <c r="B74" s="432"/>
      <c r="C74" s="433"/>
      <c r="D74" s="432"/>
      <c r="E74" s="285"/>
      <c r="F74" s="431"/>
      <c r="G74" s="496"/>
    </row>
    <row r="75" spans="1:8" ht="13.5" x14ac:dyDescent="0.25">
      <c r="A75" s="109" t="s">
        <v>1842</v>
      </c>
      <c r="B75" s="52"/>
      <c r="C75" s="50" t="s">
        <v>303</v>
      </c>
      <c r="D75" s="214" t="s">
        <v>88</v>
      </c>
      <c r="E75" s="186">
        <v>20</v>
      </c>
      <c r="F75" s="124"/>
      <c r="G75" s="209"/>
    </row>
    <row r="76" spans="1:8" x14ac:dyDescent="0.25">
      <c r="A76" s="404"/>
      <c r="B76" s="432"/>
      <c r="C76" s="433"/>
      <c r="D76" s="432"/>
      <c r="E76" s="285"/>
      <c r="F76" s="431"/>
      <c r="G76" s="496"/>
    </row>
    <row r="77" spans="1:8" ht="24" x14ac:dyDescent="0.25">
      <c r="A77" s="109" t="s">
        <v>1843</v>
      </c>
      <c r="B77" s="51"/>
      <c r="C77" s="50" t="s">
        <v>302</v>
      </c>
      <c r="D77" s="214" t="s">
        <v>88</v>
      </c>
      <c r="E77" s="186">
        <v>20</v>
      </c>
      <c r="F77" s="124"/>
      <c r="G77" s="209"/>
    </row>
    <row r="78" spans="1:8" x14ac:dyDescent="0.25">
      <c r="A78" s="404"/>
      <c r="B78" s="432"/>
      <c r="C78" s="433"/>
      <c r="D78" s="432"/>
      <c r="E78" s="285"/>
      <c r="F78" s="431"/>
      <c r="G78" s="496"/>
    </row>
    <row r="79" spans="1:8" s="21" customFormat="1" ht="28.5" customHeight="1" x14ac:dyDescent="0.25">
      <c r="A79" s="526" t="s">
        <v>609</v>
      </c>
      <c r="B79" s="526"/>
      <c r="C79" s="526"/>
      <c r="D79" s="526"/>
      <c r="E79" s="526"/>
      <c r="F79" s="526"/>
      <c r="G79" s="330"/>
      <c r="H79" s="182"/>
    </row>
    <row r="80" spans="1:8" s="21" customFormat="1" ht="28.5" customHeight="1" x14ac:dyDescent="0.25">
      <c r="A80" s="526" t="s">
        <v>610</v>
      </c>
      <c r="B80" s="526"/>
      <c r="C80" s="526"/>
      <c r="D80" s="526"/>
      <c r="E80" s="526"/>
      <c r="F80" s="526"/>
      <c r="G80" s="330"/>
      <c r="H80" s="182"/>
    </row>
    <row r="81" spans="1:7" x14ac:dyDescent="0.25">
      <c r="A81" s="404"/>
      <c r="B81" s="432"/>
      <c r="C81" s="433"/>
      <c r="D81" s="432"/>
      <c r="E81" s="285"/>
      <c r="F81" s="431"/>
      <c r="G81" s="496"/>
    </row>
    <row r="82" spans="1:7" x14ac:dyDescent="0.25">
      <c r="A82" s="109"/>
      <c r="B82" s="138" t="s">
        <v>18</v>
      </c>
      <c r="C82" s="60" t="s">
        <v>171</v>
      </c>
      <c r="D82" s="52"/>
      <c r="E82" s="186"/>
      <c r="F82" s="124"/>
      <c r="G82" s="497"/>
    </row>
    <row r="83" spans="1:7" x14ac:dyDescent="0.25">
      <c r="A83" s="404"/>
      <c r="B83" s="432"/>
      <c r="C83" s="433"/>
      <c r="D83" s="432"/>
      <c r="E83" s="285"/>
      <c r="F83" s="431"/>
      <c r="G83" s="496"/>
    </row>
    <row r="84" spans="1:7" x14ac:dyDescent="0.25">
      <c r="A84" s="109"/>
      <c r="B84" s="66" t="s">
        <v>156</v>
      </c>
      <c r="C84" s="67" t="s">
        <v>19</v>
      </c>
      <c r="D84" s="52"/>
      <c r="E84" s="186"/>
      <c r="F84" s="124"/>
      <c r="G84" s="497"/>
    </row>
    <row r="85" spans="1:7" x14ac:dyDescent="0.25">
      <c r="A85" s="404"/>
      <c r="B85" s="432"/>
      <c r="C85" s="433"/>
      <c r="D85" s="432"/>
      <c r="E85" s="285"/>
      <c r="F85" s="431"/>
      <c r="G85" s="496"/>
    </row>
    <row r="86" spans="1:7" ht="36" x14ac:dyDescent="0.25">
      <c r="A86" s="109" t="s">
        <v>1844</v>
      </c>
      <c r="B86" s="52"/>
      <c r="C86" s="50" t="s">
        <v>301</v>
      </c>
      <c r="D86" s="214" t="s">
        <v>88</v>
      </c>
      <c r="E86" s="186">
        <v>60</v>
      </c>
      <c r="F86" s="124"/>
      <c r="G86" s="209"/>
    </row>
    <row r="87" spans="1:7" x14ac:dyDescent="0.25">
      <c r="A87" s="404"/>
      <c r="B87" s="432"/>
      <c r="C87" s="433"/>
      <c r="D87" s="432"/>
      <c r="E87" s="285"/>
      <c r="F87" s="431"/>
      <c r="G87" s="496"/>
    </row>
    <row r="88" spans="1:7" x14ac:dyDescent="0.25">
      <c r="A88" s="109"/>
      <c r="B88" s="207" t="s">
        <v>16</v>
      </c>
      <c r="C88" s="38" t="s">
        <v>17</v>
      </c>
      <c r="D88" s="207"/>
      <c r="E88" s="208"/>
      <c r="F88" s="124"/>
      <c r="G88" s="476"/>
    </row>
    <row r="89" spans="1:7" x14ac:dyDescent="0.25">
      <c r="A89" s="404"/>
      <c r="B89" s="432"/>
      <c r="C89" s="433"/>
      <c r="D89" s="432"/>
      <c r="E89" s="285"/>
      <c r="F89" s="431"/>
      <c r="G89" s="496"/>
    </row>
    <row r="90" spans="1:7" ht="24" x14ac:dyDescent="0.25">
      <c r="A90" s="109" t="s">
        <v>1845</v>
      </c>
      <c r="B90" s="210" t="s">
        <v>161</v>
      </c>
      <c r="C90" s="119" t="s">
        <v>2262</v>
      </c>
      <c r="D90" s="142" t="s">
        <v>6</v>
      </c>
      <c r="E90" s="219">
        <v>10</v>
      </c>
      <c r="F90" s="124"/>
      <c r="G90" s="209"/>
    </row>
    <row r="91" spans="1:7" x14ac:dyDescent="0.25">
      <c r="A91" s="404"/>
      <c r="B91" s="432"/>
      <c r="C91" s="433"/>
      <c r="D91" s="432"/>
      <c r="E91" s="285"/>
      <c r="F91" s="431"/>
      <c r="G91" s="496"/>
    </row>
    <row r="92" spans="1:7" x14ac:dyDescent="0.25">
      <c r="A92" s="109"/>
      <c r="B92" s="207" t="s">
        <v>10</v>
      </c>
      <c r="C92" s="38" t="s">
        <v>215</v>
      </c>
      <c r="D92" s="142"/>
      <c r="E92" s="211"/>
      <c r="F92" s="124"/>
      <c r="G92" s="476"/>
    </row>
    <row r="93" spans="1:7" x14ac:dyDescent="0.25">
      <c r="A93" s="404"/>
      <c r="B93" s="432"/>
      <c r="C93" s="433"/>
      <c r="D93" s="432"/>
      <c r="E93" s="285"/>
      <c r="F93" s="431"/>
      <c r="G93" s="496"/>
    </row>
    <row r="94" spans="1:7" x14ac:dyDescent="0.25">
      <c r="A94" s="109"/>
      <c r="B94" s="210"/>
      <c r="C94" s="212" t="s">
        <v>641</v>
      </c>
      <c r="D94" s="142"/>
      <c r="E94" s="211"/>
      <c r="F94" s="124"/>
      <c r="G94" s="476"/>
    </row>
    <row r="95" spans="1:7" x14ac:dyDescent="0.25">
      <c r="A95" s="404"/>
      <c r="B95" s="432"/>
      <c r="C95" s="433"/>
      <c r="D95" s="432"/>
      <c r="E95" s="285"/>
      <c r="F95" s="431"/>
      <c r="G95" s="496"/>
    </row>
    <row r="96" spans="1:7" ht="24" x14ac:dyDescent="0.25">
      <c r="A96" s="109" t="s">
        <v>1846</v>
      </c>
      <c r="B96" s="210"/>
      <c r="C96" s="119" t="s">
        <v>363</v>
      </c>
      <c r="D96" s="142" t="s">
        <v>8</v>
      </c>
      <c r="E96" s="187">
        <v>3</v>
      </c>
      <c r="F96" s="124"/>
      <c r="G96" s="209"/>
    </row>
    <row r="97" spans="1:7" x14ac:dyDescent="0.25">
      <c r="A97" s="404"/>
      <c r="B97" s="432"/>
      <c r="C97" s="433"/>
      <c r="D97" s="432"/>
      <c r="E97" s="285"/>
      <c r="F97" s="431"/>
      <c r="G97" s="496"/>
    </row>
    <row r="98" spans="1:7" ht="24" x14ac:dyDescent="0.25">
      <c r="A98" s="109" t="s">
        <v>1847</v>
      </c>
      <c r="B98" s="210"/>
      <c r="C98" s="119" t="s">
        <v>364</v>
      </c>
      <c r="D98" s="142" t="s">
        <v>8</v>
      </c>
      <c r="E98" s="187">
        <v>2</v>
      </c>
      <c r="F98" s="124"/>
      <c r="G98" s="209"/>
    </row>
    <row r="99" spans="1:7" x14ac:dyDescent="0.25">
      <c r="A99" s="404"/>
      <c r="B99" s="432"/>
      <c r="C99" s="433"/>
      <c r="D99" s="432"/>
      <c r="E99" s="285"/>
      <c r="F99" s="431"/>
      <c r="G99" s="496"/>
    </row>
    <row r="100" spans="1:7" x14ac:dyDescent="0.25">
      <c r="A100" s="109"/>
      <c r="B100" s="210"/>
      <c r="C100" s="212" t="s">
        <v>643</v>
      </c>
      <c r="D100" s="142"/>
      <c r="E100" s="211"/>
      <c r="F100" s="125"/>
      <c r="G100" s="494"/>
    </row>
    <row r="101" spans="1:7" x14ac:dyDescent="0.25">
      <c r="A101" s="404"/>
      <c r="B101" s="432"/>
      <c r="C101" s="433"/>
      <c r="D101" s="432"/>
      <c r="E101" s="285"/>
      <c r="F101" s="431"/>
      <c r="G101" s="496"/>
    </row>
    <row r="102" spans="1:7" ht="24" x14ac:dyDescent="0.25">
      <c r="A102" s="109" t="s">
        <v>1848</v>
      </c>
      <c r="B102" s="210"/>
      <c r="C102" s="119" t="s">
        <v>363</v>
      </c>
      <c r="D102" s="142" t="s">
        <v>6</v>
      </c>
      <c r="E102" s="187">
        <v>20</v>
      </c>
      <c r="F102" s="125"/>
      <c r="G102" s="209"/>
    </row>
    <row r="103" spans="1:7" x14ac:dyDescent="0.25">
      <c r="A103" s="404"/>
      <c r="B103" s="432"/>
      <c r="C103" s="433"/>
      <c r="D103" s="432"/>
      <c r="E103" s="285"/>
      <c r="F103" s="431"/>
      <c r="G103" s="496"/>
    </row>
    <row r="104" spans="1:7" ht="27.75" customHeight="1" x14ac:dyDescent="0.25">
      <c r="A104" s="340" t="s">
        <v>1695</v>
      </c>
      <c r="B104" s="138" t="s">
        <v>284</v>
      </c>
      <c r="C104" s="60" t="s">
        <v>283</v>
      </c>
      <c r="D104" s="52"/>
      <c r="E104" s="186"/>
      <c r="F104" s="124"/>
      <c r="G104" s="497"/>
    </row>
    <row r="105" spans="1:7" x14ac:dyDescent="0.25">
      <c r="A105" s="404"/>
      <c r="B105" s="432"/>
      <c r="C105" s="433"/>
      <c r="D105" s="432"/>
      <c r="E105" s="285"/>
      <c r="F105" s="431"/>
      <c r="G105" s="496"/>
    </row>
    <row r="106" spans="1:7" ht="24" x14ac:dyDescent="0.25">
      <c r="A106" s="109" t="s">
        <v>1696</v>
      </c>
      <c r="B106" s="52" t="s">
        <v>5</v>
      </c>
      <c r="C106" s="50" t="s">
        <v>282</v>
      </c>
      <c r="D106" s="142" t="s">
        <v>87</v>
      </c>
      <c r="E106" s="186">
        <v>20</v>
      </c>
      <c r="F106" s="124"/>
      <c r="G106" s="209"/>
    </row>
    <row r="107" spans="1:7" x14ac:dyDescent="0.25">
      <c r="A107" s="404"/>
      <c r="B107" s="432"/>
      <c r="C107" s="433"/>
      <c r="D107" s="432"/>
      <c r="E107" s="285"/>
      <c r="F107" s="431"/>
      <c r="G107" s="496"/>
    </row>
    <row r="108" spans="1:7" ht="36" customHeight="1" x14ac:dyDescent="0.25">
      <c r="A108" s="109"/>
      <c r="B108" s="51" t="s">
        <v>7</v>
      </c>
      <c r="C108" s="50" t="s">
        <v>281</v>
      </c>
      <c r="D108" s="52"/>
      <c r="E108" s="186"/>
      <c r="F108" s="124"/>
      <c r="G108" s="497"/>
    </row>
    <row r="109" spans="1:7" x14ac:dyDescent="0.25">
      <c r="A109" s="404"/>
      <c r="B109" s="432"/>
      <c r="C109" s="433"/>
      <c r="D109" s="432"/>
      <c r="E109" s="285"/>
      <c r="F109" s="431"/>
      <c r="G109" s="496"/>
    </row>
    <row r="110" spans="1:7" ht="13.5" x14ac:dyDescent="0.25">
      <c r="A110" s="109" t="s">
        <v>1849</v>
      </c>
      <c r="B110" s="52"/>
      <c r="C110" s="50" t="s">
        <v>280</v>
      </c>
      <c r="D110" s="214" t="s">
        <v>88</v>
      </c>
      <c r="E110" s="186">
        <v>10</v>
      </c>
      <c r="F110" s="124"/>
      <c r="G110" s="209"/>
    </row>
    <row r="111" spans="1:7" x14ac:dyDescent="0.25">
      <c r="A111" s="404"/>
      <c r="B111" s="432"/>
      <c r="C111" s="433"/>
      <c r="D111" s="432"/>
      <c r="E111" s="285"/>
      <c r="F111" s="431"/>
      <c r="G111" s="496"/>
    </row>
    <row r="112" spans="1:7" ht="13.5" x14ac:dyDescent="0.25">
      <c r="A112" s="109" t="s">
        <v>1850</v>
      </c>
      <c r="B112" s="52"/>
      <c r="C112" s="50" t="s">
        <v>279</v>
      </c>
      <c r="D112" s="214" t="s">
        <v>88</v>
      </c>
      <c r="E112" s="186">
        <v>80</v>
      </c>
      <c r="F112" s="124"/>
      <c r="G112" s="209"/>
    </row>
    <row r="113" spans="1:8" x14ac:dyDescent="0.25">
      <c r="A113" s="404"/>
      <c r="B113" s="432"/>
      <c r="C113" s="433"/>
      <c r="D113" s="432"/>
      <c r="E113" s="285"/>
      <c r="F113" s="431"/>
      <c r="G113" s="496"/>
    </row>
    <row r="114" spans="1:8" ht="13.5" x14ac:dyDescent="0.25">
      <c r="A114" s="109" t="s">
        <v>1851</v>
      </c>
      <c r="B114" s="52"/>
      <c r="C114" s="50" t="s">
        <v>278</v>
      </c>
      <c r="D114" s="214" t="s">
        <v>88</v>
      </c>
      <c r="E114" s="186">
        <v>120</v>
      </c>
      <c r="F114" s="124"/>
      <c r="G114" s="209"/>
    </row>
    <row r="115" spans="1:8" x14ac:dyDescent="0.25">
      <c r="A115" s="404"/>
      <c r="B115" s="432"/>
      <c r="C115" s="433"/>
      <c r="D115" s="432"/>
      <c r="E115" s="285"/>
      <c r="F115" s="431"/>
      <c r="G115" s="496"/>
    </row>
    <row r="116" spans="1:8" ht="13.5" x14ac:dyDescent="0.25">
      <c r="A116" s="109" t="s">
        <v>1852</v>
      </c>
      <c r="B116" s="52"/>
      <c r="C116" s="50" t="s">
        <v>277</v>
      </c>
      <c r="D116" s="214" t="s">
        <v>88</v>
      </c>
      <c r="E116" s="186">
        <v>80</v>
      </c>
      <c r="F116" s="124"/>
      <c r="G116" s="209"/>
    </row>
    <row r="117" spans="1:8" x14ac:dyDescent="0.25">
      <c r="A117" s="404"/>
      <c r="B117" s="432"/>
      <c r="C117" s="433"/>
      <c r="D117" s="432"/>
      <c r="E117" s="285"/>
      <c r="F117" s="431"/>
      <c r="G117" s="496"/>
    </row>
    <row r="118" spans="1:8" ht="13.5" x14ac:dyDescent="0.25">
      <c r="A118" s="109" t="s">
        <v>1853</v>
      </c>
      <c r="B118" s="52"/>
      <c r="C118" s="50" t="s">
        <v>276</v>
      </c>
      <c r="D118" s="214" t="s">
        <v>88</v>
      </c>
      <c r="E118" s="186">
        <v>5</v>
      </c>
      <c r="F118" s="124"/>
      <c r="G118" s="209"/>
    </row>
    <row r="119" spans="1:8" x14ac:dyDescent="0.25">
      <c r="A119" s="404"/>
      <c r="B119" s="432"/>
      <c r="C119" s="433"/>
      <c r="D119" s="432"/>
      <c r="E119" s="285"/>
      <c r="F119" s="431"/>
      <c r="G119" s="496"/>
    </row>
    <row r="120" spans="1:8" ht="13.5" x14ac:dyDescent="0.25">
      <c r="A120" s="109" t="s">
        <v>1854</v>
      </c>
      <c r="B120" s="51" t="s">
        <v>205</v>
      </c>
      <c r="C120" s="50" t="s">
        <v>275</v>
      </c>
      <c r="D120" s="214" t="s">
        <v>88</v>
      </c>
      <c r="E120" s="186">
        <v>200</v>
      </c>
      <c r="F120" s="124"/>
      <c r="G120" s="209"/>
    </row>
    <row r="121" spans="1:8" x14ac:dyDescent="0.25">
      <c r="A121" s="404"/>
      <c r="B121" s="432"/>
      <c r="C121" s="433"/>
      <c r="D121" s="432"/>
      <c r="E121" s="285"/>
      <c r="F121" s="431"/>
      <c r="G121" s="496"/>
    </row>
    <row r="122" spans="1:8" x14ac:dyDescent="0.25">
      <c r="A122" s="109"/>
      <c r="B122" s="51"/>
      <c r="C122" s="50"/>
      <c r="D122" s="51"/>
      <c r="E122" s="186"/>
      <c r="F122" s="124"/>
      <c r="G122" s="209"/>
    </row>
    <row r="123" spans="1:8" s="21" customFormat="1" ht="28.5" customHeight="1" x14ac:dyDescent="0.25">
      <c r="A123" s="526" t="s">
        <v>609</v>
      </c>
      <c r="B123" s="526"/>
      <c r="C123" s="526"/>
      <c r="D123" s="526"/>
      <c r="E123" s="526"/>
      <c r="F123" s="526"/>
      <c r="G123" s="330"/>
      <c r="H123" s="182"/>
    </row>
    <row r="124" spans="1:8" s="21" customFormat="1" ht="28.5" customHeight="1" x14ac:dyDescent="0.25">
      <c r="A124" s="526" t="s">
        <v>610</v>
      </c>
      <c r="B124" s="526"/>
      <c r="C124" s="526"/>
      <c r="D124" s="526"/>
      <c r="E124" s="526"/>
      <c r="F124" s="526"/>
      <c r="G124" s="330"/>
      <c r="H124" s="182"/>
    </row>
    <row r="125" spans="1:8" x14ac:dyDescent="0.25">
      <c r="A125" s="404"/>
      <c r="B125" s="432"/>
      <c r="C125" s="433"/>
      <c r="D125" s="432"/>
      <c r="E125" s="285"/>
      <c r="F125" s="431"/>
      <c r="G125" s="496"/>
    </row>
    <row r="126" spans="1:8" ht="36" x14ac:dyDescent="0.25">
      <c r="A126" s="109" t="s">
        <v>1855</v>
      </c>
      <c r="B126" s="51" t="s">
        <v>13</v>
      </c>
      <c r="C126" s="50" t="s">
        <v>274</v>
      </c>
      <c r="D126" s="142" t="s">
        <v>87</v>
      </c>
      <c r="E126" s="186">
        <v>50</v>
      </c>
      <c r="F126" s="124"/>
      <c r="G126" s="209"/>
    </row>
    <row r="127" spans="1:8" x14ac:dyDescent="0.25">
      <c r="A127" s="404"/>
      <c r="B127" s="432"/>
      <c r="C127" s="433"/>
      <c r="D127" s="432"/>
      <c r="E127" s="285"/>
      <c r="F127" s="431"/>
      <c r="G127" s="496"/>
    </row>
    <row r="128" spans="1:8" ht="25.15" customHeight="1" x14ac:dyDescent="0.25">
      <c r="A128" s="340" t="s">
        <v>1856</v>
      </c>
      <c r="B128" s="138"/>
      <c r="C128" s="60" t="s">
        <v>2218</v>
      </c>
      <c r="D128" s="214"/>
      <c r="E128" s="186"/>
      <c r="F128" s="124"/>
      <c r="G128" s="209"/>
    </row>
    <row r="129" spans="1:7" x14ac:dyDescent="0.25">
      <c r="A129" s="434"/>
      <c r="B129" s="435"/>
      <c r="C129" s="436"/>
      <c r="D129" s="251"/>
      <c r="E129" s="466"/>
      <c r="F129" s="470"/>
      <c r="G129" s="437"/>
    </row>
    <row r="130" spans="1:7" ht="13.5" x14ac:dyDescent="0.25">
      <c r="A130" s="109" t="s">
        <v>2220</v>
      </c>
      <c r="B130" s="51"/>
      <c r="C130" s="50" t="s">
        <v>1087</v>
      </c>
      <c r="D130" s="142" t="s">
        <v>87</v>
      </c>
      <c r="E130" s="186">
        <v>36</v>
      </c>
      <c r="F130" s="124"/>
      <c r="G130" s="209"/>
    </row>
    <row r="131" spans="1:7" x14ac:dyDescent="0.25">
      <c r="A131" s="434"/>
      <c r="B131" s="435"/>
      <c r="C131" s="436"/>
      <c r="D131" s="251"/>
      <c r="E131" s="466"/>
      <c r="F131" s="470"/>
      <c r="G131" s="437"/>
    </row>
    <row r="132" spans="1:7" ht="13.5" x14ac:dyDescent="0.25">
      <c r="A132" s="109" t="s">
        <v>2221</v>
      </c>
      <c r="B132" s="51"/>
      <c r="C132" s="50" t="s">
        <v>2219</v>
      </c>
      <c r="D132" s="214" t="s">
        <v>88</v>
      </c>
      <c r="E132" s="186">
        <v>10</v>
      </c>
      <c r="F132" s="124"/>
      <c r="G132" s="209"/>
    </row>
    <row r="133" spans="1:7" x14ac:dyDescent="0.25">
      <c r="A133" s="404"/>
      <c r="B133" s="432"/>
      <c r="C133" s="433"/>
      <c r="D133" s="432"/>
      <c r="E133" s="285"/>
      <c r="F133" s="431"/>
      <c r="G133" s="496"/>
    </row>
    <row r="134" spans="1:7" ht="24" x14ac:dyDescent="0.25">
      <c r="A134" s="340" t="s">
        <v>1697</v>
      </c>
      <c r="B134" s="138" t="s">
        <v>362</v>
      </c>
      <c r="C134" s="60" t="s">
        <v>361</v>
      </c>
      <c r="D134" s="51"/>
      <c r="E134" s="186"/>
      <c r="F134" s="124"/>
      <c r="G134" s="476"/>
    </row>
    <row r="135" spans="1:7" x14ac:dyDescent="0.25">
      <c r="A135" s="404"/>
      <c r="B135" s="432"/>
      <c r="C135" s="433"/>
      <c r="D135" s="432"/>
      <c r="E135" s="285"/>
      <c r="F135" s="431"/>
      <c r="G135" s="496"/>
    </row>
    <row r="136" spans="1:7" x14ac:dyDescent="0.25">
      <c r="A136" s="109"/>
      <c r="B136" s="138" t="s">
        <v>360</v>
      </c>
      <c r="C136" s="60" t="s">
        <v>359</v>
      </c>
      <c r="D136" s="51"/>
      <c r="E136" s="186"/>
      <c r="F136" s="125"/>
      <c r="G136" s="494"/>
    </row>
    <row r="137" spans="1:7" x14ac:dyDescent="0.25">
      <c r="A137" s="404"/>
      <c r="B137" s="432"/>
      <c r="C137" s="433"/>
      <c r="D137" s="432"/>
      <c r="E137" s="285"/>
      <c r="F137" s="431"/>
      <c r="G137" s="496"/>
    </row>
    <row r="138" spans="1:7" ht="13.5" x14ac:dyDescent="0.25">
      <c r="A138" s="109" t="s">
        <v>1698</v>
      </c>
      <c r="B138" s="51"/>
      <c r="C138" s="50" t="s">
        <v>358</v>
      </c>
      <c r="D138" s="214" t="s">
        <v>88</v>
      </c>
      <c r="E138" s="186">
        <v>25</v>
      </c>
      <c r="F138" s="125"/>
      <c r="G138" s="209"/>
    </row>
    <row r="139" spans="1:7" x14ac:dyDescent="0.25">
      <c r="A139" s="404"/>
      <c r="B139" s="432"/>
      <c r="C139" s="433"/>
      <c r="D139" s="432"/>
      <c r="E139" s="285"/>
      <c r="F139" s="431"/>
      <c r="G139" s="496"/>
    </row>
    <row r="140" spans="1:7" x14ac:dyDescent="0.25">
      <c r="A140" s="109"/>
      <c r="B140" s="138" t="s">
        <v>357</v>
      </c>
      <c r="C140" s="60" t="s">
        <v>2264</v>
      </c>
      <c r="D140" s="51"/>
      <c r="E140" s="186"/>
      <c r="F140" s="125"/>
      <c r="G140" s="494"/>
    </row>
    <row r="141" spans="1:7" x14ac:dyDescent="0.25">
      <c r="A141" s="404"/>
      <c r="B141" s="432"/>
      <c r="C141" s="433"/>
      <c r="D141" s="432"/>
      <c r="E141" s="285"/>
      <c r="F141" s="431"/>
      <c r="G141" s="496"/>
    </row>
    <row r="142" spans="1:7" ht="24" x14ac:dyDescent="0.25">
      <c r="A142" s="109" t="s">
        <v>1701</v>
      </c>
      <c r="B142" s="51"/>
      <c r="C142" s="50" t="s">
        <v>355</v>
      </c>
      <c r="D142" s="142" t="s">
        <v>87</v>
      </c>
      <c r="E142" s="186">
        <v>200</v>
      </c>
      <c r="F142" s="125"/>
      <c r="G142" s="209"/>
    </row>
    <row r="143" spans="1:7" x14ac:dyDescent="0.25">
      <c r="A143" s="404"/>
      <c r="B143" s="432"/>
      <c r="C143" s="433"/>
      <c r="D143" s="432"/>
      <c r="E143" s="285"/>
      <c r="F143" s="431"/>
      <c r="G143" s="496"/>
    </row>
    <row r="144" spans="1:7" ht="36" x14ac:dyDescent="0.25">
      <c r="A144" s="109" t="s">
        <v>1702</v>
      </c>
      <c r="B144" s="51" t="s">
        <v>2213</v>
      </c>
      <c r="C144" s="50" t="s">
        <v>354</v>
      </c>
      <c r="D144" s="142" t="s">
        <v>87</v>
      </c>
      <c r="E144" s="186">
        <v>200</v>
      </c>
      <c r="F144" s="125"/>
      <c r="G144" s="209"/>
    </row>
    <row r="145" spans="1:7" x14ac:dyDescent="0.25">
      <c r="A145" s="404"/>
      <c r="B145" s="432"/>
      <c r="C145" s="433"/>
      <c r="D145" s="432"/>
      <c r="E145" s="285"/>
      <c r="F145" s="431"/>
      <c r="G145" s="496"/>
    </row>
    <row r="146" spans="1:7" x14ac:dyDescent="0.25">
      <c r="A146" s="109"/>
      <c r="B146" s="138" t="s">
        <v>353</v>
      </c>
      <c r="C146" s="60" t="s">
        <v>2263</v>
      </c>
      <c r="D146" s="51"/>
      <c r="E146" s="186"/>
      <c r="F146" s="125"/>
      <c r="G146" s="494"/>
    </row>
    <row r="147" spans="1:7" x14ac:dyDescent="0.25">
      <c r="A147" s="404"/>
      <c r="B147" s="432"/>
      <c r="C147" s="433"/>
      <c r="D147" s="432"/>
      <c r="E147" s="285"/>
      <c r="F147" s="431"/>
      <c r="G147" s="496"/>
    </row>
    <row r="148" spans="1:7" ht="48" x14ac:dyDescent="0.25">
      <c r="A148" s="109" t="s">
        <v>1703</v>
      </c>
      <c r="B148" s="51"/>
      <c r="C148" s="50" t="s">
        <v>351</v>
      </c>
      <c r="D148" s="214" t="s">
        <v>88</v>
      </c>
      <c r="E148" s="186">
        <v>7.5</v>
      </c>
      <c r="F148" s="125"/>
      <c r="G148" s="209"/>
    </row>
    <row r="149" spans="1:7" x14ac:dyDescent="0.25">
      <c r="A149" s="404"/>
      <c r="B149" s="432"/>
      <c r="C149" s="433"/>
      <c r="D149" s="432"/>
      <c r="E149" s="285"/>
      <c r="F149" s="431"/>
      <c r="G149" s="496"/>
    </row>
    <row r="150" spans="1:7" ht="48" x14ac:dyDescent="0.25">
      <c r="A150" s="108" t="s">
        <v>1704</v>
      </c>
      <c r="B150" s="52"/>
      <c r="C150" s="50" t="s">
        <v>350</v>
      </c>
      <c r="D150" s="214" t="s">
        <v>88</v>
      </c>
      <c r="E150" s="186">
        <v>10</v>
      </c>
      <c r="F150" s="125"/>
      <c r="G150" s="209"/>
    </row>
    <row r="151" spans="1:7" x14ac:dyDescent="0.25">
      <c r="A151" s="404"/>
      <c r="B151" s="432"/>
      <c r="C151" s="433"/>
      <c r="D151" s="432"/>
      <c r="E151" s="285"/>
      <c r="F151" s="431"/>
      <c r="G151" s="496"/>
    </row>
    <row r="152" spans="1:7" ht="23.25" customHeight="1" x14ac:dyDescent="0.25">
      <c r="A152" s="340" t="s">
        <v>1699</v>
      </c>
      <c r="B152" s="138" t="s">
        <v>272</v>
      </c>
      <c r="C152" s="60" t="s">
        <v>271</v>
      </c>
      <c r="D152" s="207"/>
      <c r="E152" s="208"/>
      <c r="F152" s="125"/>
      <c r="G152" s="494"/>
    </row>
    <row r="153" spans="1:7" x14ac:dyDescent="0.25">
      <c r="A153" s="404"/>
      <c r="B153" s="432"/>
      <c r="C153" s="433"/>
      <c r="D153" s="432"/>
      <c r="E153" s="285"/>
      <c r="F153" s="431"/>
      <c r="G153" s="496"/>
    </row>
    <row r="154" spans="1:7" ht="36" x14ac:dyDescent="0.25">
      <c r="A154" s="109"/>
      <c r="B154" s="138" t="s">
        <v>168</v>
      </c>
      <c r="C154" s="60" t="s">
        <v>300</v>
      </c>
      <c r="D154" s="51"/>
      <c r="E154" s="186"/>
      <c r="F154" s="125"/>
      <c r="G154" s="494"/>
    </row>
    <row r="155" spans="1:7" x14ac:dyDescent="0.25">
      <c r="A155" s="404"/>
      <c r="B155" s="432"/>
      <c r="C155" s="433"/>
      <c r="D155" s="432"/>
      <c r="E155" s="285"/>
      <c r="F155" s="431"/>
      <c r="G155" s="496"/>
    </row>
    <row r="156" spans="1:7" ht="13.5" x14ac:dyDescent="0.25">
      <c r="A156" s="109" t="s">
        <v>1700</v>
      </c>
      <c r="B156" s="51"/>
      <c r="C156" s="50" t="s">
        <v>268</v>
      </c>
      <c r="D156" s="214" t="s">
        <v>88</v>
      </c>
      <c r="E156" s="186">
        <v>5</v>
      </c>
      <c r="F156" s="125"/>
      <c r="G156" s="209"/>
    </row>
    <row r="157" spans="1:7" x14ac:dyDescent="0.25">
      <c r="A157" s="404"/>
      <c r="B157" s="432"/>
      <c r="C157" s="433"/>
      <c r="D157" s="432"/>
      <c r="E157" s="285"/>
      <c r="F157" s="431"/>
      <c r="G157" s="496"/>
    </row>
    <row r="158" spans="1:7" x14ac:dyDescent="0.25">
      <c r="A158" s="109"/>
      <c r="B158" s="51"/>
      <c r="C158" s="50"/>
      <c r="D158" s="51"/>
      <c r="E158" s="186"/>
      <c r="F158" s="125"/>
      <c r="G158" s="494"/>
    </row>
    <row r="159" spans="1:7" x14ac:dyDescent="0.25">
      <c r="A159" s="404"/>
      <c r="B159" s="432"/>
      <c r="C159" s="433"/>
      <c r="D159" s="432"/>
      <c r="E159" s="285"/>
      <c r="F159" s="431"/>
      <c r="G159" s="496"/>
    </row>
    <row r="160" spans="1:7" x14ac:dyDescent="0.25">
      <c r="A160" s="109"/>
      <c r="B160" s="51"/>
      <c r="C160" s="50"/>
      <c r="D160" s="51"/>
      <c r="E160" s="186"/>
      <c r="F160" s="124"/>
      <c r="G160" s="476"/>
    </row>
    <row r="161" spans="1:8" x14ac:dyDescent="0.25">
      <c r="A161" s="404"/>
      <c r="B161" s="432"/>
      <c r="C161" s="433"/>
      <c r="D161" s="432"/>
      <c r="E161" s="285"/>
      <c r="F161" s="431"/>
      <c r="G161" s="496"/>
    </row>
    <row r="162" spans="1:8" s="21" customFormat="1" ht="28.5" customHeight="1" x14ac:dyDescent="0.25">
      <c r="A162" s="526" t="s">
        <v>609</v>
      </c>
      <c r="B162" s="526"/>
      <c r="C162" s="526"/>
      <c r="D162" s="526"/>
      <c r="E162" s="526"/>
      <c r="F162" s="526"/>
      <c r="G162" s="330"/>
      <c r="H162" s="182"/>
    </row>
    <row r="163" spans="1:8" s="21" customFormat="1" ht="28.5" customHeight="1" x14ac:dyDescent="0.25">
      <c r="A163" s="526" t="s">
        <v>610</v>
      </c>
      <c r="B163" s="526"/>
      <c r="C163" s="526"/>
      <c r="D163" s="526"/>
      <c r="E163" s="526"/>
      <c r="F163" s="526"/>
      <c r="G163" s="330"/>
      <c r="H163" s="182"/>
    </row>
    <row r="164" spans="1:8" x14ac:dyDescent="0.25">
      <c r="A164" s="404"/>
      <c r="B164" s="432"/>
      <c r="C164" s="433"/>
      <c r="D164" s="432"/>
      <c r="E164" s="285"/>
      <c r="F164" s="431"/>
      <c r="G164" s="496"/>
    </row>
    <row r="165" spans="1:8" ht="48" x14ac:dyDescent="0.25">
      <c r="A165" s="108"/>
      <c r="B165" s="138" t="s">
        <v>169</v>
      </c>
      <c r="C165" s="60" t="s">
        <v>270</v>
      </c>
      <c r="D165" s="52"/>
      <c r="E165" s="187"/>
      <c r="F165" s="123"/>
      <c r="G165" s="495"/>
    </row>
    <row r="166" spans="1:8" x14ac:dyDescent="0.25">
      <c r="A166" s="404"/>
      <c r="B166" s="432"/>
      <c r="C166" s="433"/>
      <c r="D166" s="432"/>
      <c r="E166" s="285"/>
      <c r="F166" s="431"/>
      <c r="G166" s="496"/>
    </row>
    <row r="167" spans="1:8" ht="24" x14ac:dyDescent="0.25">
      <c r="A167" s="109"/>
      <c r="B167" s="66" t="s">
        <v>170</v>
      </c>
      <c r="C167" s="67" t="s">
        <v>269</v>
      </c>
      <c r="D167" s="51"/>
      <c r="E167" s="186"/>
      <c r="F167" s="124"/>
      <c r="G167" s="476"/>
    </row>
    <row r="168" spans="1:8" x14ac:dyDescent="0.25">
      <c r="A168" s="404"/>
      <c r="B168" s="432"/>
      <c r="C168" s="433"/>
      <c r="D168" s="432"/>
      <c r="E168" s="285"/>
      <c r="F168" s="431"/>
      <c r="G168" s="496"/>
    </row>
    <row r="169" spans="1:8" ht="13.5" x14ac:dyDescent="0.25">
      <c r="A169" s="109" t="s">
        <v>1705</v>
      </c>
      <c r="B169" s="51"/>
      <c r="C169" s="50" t="s">
        <v>246</v>
      </c>
      <c r="D169" s="214" t="s">
        <v>88</v>
      </c>
      <c r="E169" s="186">
        <v>30</v>
      </c>
      <c r="F169" s="124"/>
      <c r="G169" s="209"/>
    </row>
    <row r="170" spans="1:8" x14ac:dyDescent="0.25">
      <c r="A170" s="404"/>
      <c r="B170" s="432"/>
      <c r="C170" s="433"/>
      <c r="D170" s="432"/>
      <c r="E170" s="285"/>
      <c r="F170" s="431"/>
      <c r="G170" s="496"/>
    </row>
    <row r="171" spans="1:8" ht="13.5" x14ac:dyDescent="0.25">
      <c r="A171" s="109" t="s">
        <v>1706</v>
      </c>
      <c r="B171" s="51"/>
      <c r="C171" s="50" t="s">
        <v>268</v>
      </c>
      <c r="D171" s="214" t="s">
        <v>88</v>
      </c>
      <c r="E171" s="186">
        <v>30</v>
      </c>
      <c r="F171" s="124"/>
      <c r="G171" s="209"/>
    </row>
    <row r="172" spans="1:8" x14ac:dyDescent="0.25">
      <c r="A172" s="404"/>
      <c r="B172" s="432"/>
      <c r="C172" s="433"/>
      <c r="D172" s="432"/>
      <c r="E172" s="285"/>
      <c r="F172" s="431"/>
      <c r="G172" s="496"/>
    </row>
    <row r="173" spans="1:8" ht="24" x14ac:dyDescent="0.25">
      <c r="A173" s="109"/>
      <c r="B173" s="138" t="s">
        <v>267</v>
      </c>
      <c r="C173" s="60" t="s">
        <v>266</v>
      </c>
      <c r="D173" s="51"/>
      <c r="E173" s="186"/>
      <c r="F173" s="125"/>
      <c r="G173" s="494"/>
    </row>
    <row r="174" spans="1:8" x14ac:dyDescent="0.25">
      <c r="A174" s="404"/>
      <c r="B174" s="432"/>
      <c r="C174" s="433"/>
      <c r="D174" s="432"/>
      <c r="E174" s="285"/>
      <c r="F174" s="431"/>
      <c r="G174" s="496"/>
    </row>
    <row r="175" spans="1:8" ht="24" x14ac:dyDescent="0.25">
      <c r="A175" s="109" t="s">
        <v>1857</v>
      </c>
      <c r="B175" s="51"/>
      <c r="C175" s="50" t="s">
        <v>265</v>
      </c>
      <c r="D175" s="214" t="s">
        <v>88</v>
      </c>
      <c r="E175" s="186">
        <v>5</v>
      </c>
      <c r="F175" s="125"/>
      <c r="G175" s="209"/>
    </row>
    <row r="176" spans="1:8" x14ac:dyDescent="0.25">
      <c r="A176" s="404"/>
      <c r="B176" s="432"/>
      <c r="C176" s="433"/>
      <c r="D176" s="432"/>
      <c r="E176" s="285"/>
      <c r="F176" s="431"/>
      <c r="G176" s="496"/>
    </row>
    <row r="177" spans="1:7" ht="24" x14ac:dyDescent="0.25">
      <c r="A177" s="108" t="s">
        <v>2265</v>
      </c>
      <c r="B177" s="52"/>
      <c r="C177" s="353" t="s">
        <v>2242</v>
      </c>
      <c r="D177" s="142" t="s">
        <v>87</v>
      </c>
      <c r="E177" s="187">
        <v>20</v>
      </c>
      <c r="F177" s="123"/>
      <c r="G177" s="209"/>
    </row>
    <row r="178" spans="1:7" x14ac:dyDescent="0.25">
      <c r="A178" s="404"/>
      <c r="B178" s="432"/>
      <c r="C178" s="433"/>
      <c r="D178" s="432"/>
      <c r="E178" s="285"/>
      <c r="F178" s="431"/>
      <c r="G178" s="496"/>
    </row>
    <row r="179" spans="1:7" ht="24" x14ac:dyDescent="0.25">
      <c r="A179" s="340" t="s">
        <v>1707</v>
      </c>
      <c r="B179" s="138" t="s">
        <v>264</v>
      </c>
      <c r="C179" s="60" t="s">
        <v>245</v>
      </c>
      <c r="D179" s="51"/>
      <c r="E179" s="186"/>
      <c r="F179" s="124"/>
      <c r="G179" s="476"/>
    </row>
    <row r="180" spans="1:7" x14ac:dyDescent="0.25">
      <c r="A180" s="404"/>
      <c r="B180" s="432"/>
      <c r="C180" s="433"/>
      <c r="D180" s="432"/>
      <c r="E180" s="285"/>
      <c r="F180" s="431"/>
      <c r="G180" s="496"/>
    </row>
    <row r="181" spans="1:7" ht="36" x14ac:dyDescent="0.25">
      <c r="A181" s="109" t="s">
        <v>1708</v>
      </c>
      <c r="B181" s="51" t="s">
        <v>5</v>
      </c>
      <c r="C181" s="50" t="s">
        <v>2266</v>
      </c>
      <c r="D181" s="51" t="s">
        <v>6</v>
      </c>
      <c r="E181" s="186">
        <v>100</v>
      </c>
      <c r="F181" s="126"/>
      <c r="G181" s="209"/>
    </row>
    <row r="182" spans="1:7" x14ac:dyDescent="0.25">
      <c r="A182" s="404"/>
      <c r="B182" s="432"/>
      <c r="C182" s="433"/>
      <c r="D182" s="432"/>
      <c r="E182" s="285"/>
      <c r="F182" s="431"/>
      <c r="G182" s="496"/>
    </row>
    <row r="183" spans="1:7" ht="72" x14ac:dyDescent="0.25">
      <c r="A183" s="109"/>
      <c r="B183" s="138" t="s">
        <v>2295</v>
      </c>
      <c r="C183" s="60" t="s">
        <v>736</v>
      </c>
      <c r="D183" s="51"/>
      <c r="E183" s="186"/>
      <c r="F183" s="124"/>
      <c r="G183" s="476"/>
    </row>
    <row r="184" spans="1:7" x14ac:dyDescent="0.25">
      <c r="A184" s="404"/>
      <c r="B184" s="432"/>
      <c r="C184" s="433"/>
      <c r="D184" s="432"/>
      <c r="E184" s="285"/>
      <c r="F184" s="431"/>
      <c r="G184" s="496"/>
    </row>
    <row r="185" spans="1:7" x14ac:dyDescent="0.25">
      <c r="A185" s="109" t="s">
        <v>1709</v>
      </c>
      <c r="B185" s="51"/>
      <c r="C185" s="50" t="s">
        <v>298</v>
      </c>
      <c r="D185" s="51" t="s">
        <v>8</v>
      </c>
      <c r="E185" s="186">
        <v>1</v>
      </c>
      <c r="F185" s="126"/>
      <c r="G185" s="209"/>
    </row>
    <row r="186" spans="1:7" x14ac:dyDescent="0.25">
      <c r="A186" s="404"/>
      <c r="B186" s="432"/>
      <c r="C186" s="433"/>
      <c r="D186" s="432"/>
      <c r="E186" s="285"/>
      <c r="F186" s="431"/>
      <c r="G186" s="496"/>
    </row>
    <row r="187" spans="1:7" x14ac:dyDescent="0.25">
      <c r="A187" s="109" t="s">
        <v>1858</v>
      </c>
      <c r="B187" s="51"/>
      <c r="C187" s="50" t="s">
        <v>384</v>
      </c>
      <c r="D187" s="51" t="s">
        <v>8</v>
      </c>
      <c r="E187" s="186">
        <v>2</v>
      </c>
      <c r="F187" s="126"/>
      <c r="G187" s="209"/>
    </row>
    <row r="188" spans="1:7" x14ac:dyDescent="0.25">
      <c r="A188" s="404"/>
      <c r="B188" s="432"/>
      <c r="C188" s="433"/>
      <c r="D188" s="432"/>
      <c r="E188" s="285"/>
      <c r="F188" s="431"/>
      <c r="G188" s="496"/>
    </row>
    <row r="189" spans="1:7" x14ac:dyDescent="0.25">
      <c r="A189" s="109" t="s">
        <v>1710</v>
      </c>
      <c r="B189" s="51"/>
      <c r="C189" s="50" t="s">
        <v>296</v>
      </c>
      <c r="D189" s="51" t="s">
        <v>8</v>
      </c>
      <c r="E189" s="186">
        <v>1</v>
      </c>
      <c r="F189" s="126"/>
      <c r="G189" s="209"/>
    </row>
    <row r="190" spans="1:7" x14ac:dyDescent="0.25">
      <c r="A190" s="404"/>
      <c r="B190" s="432"/>
      <c r="C190" s="433"/>
      <c r="D190" s="432"/>
      <c r="E190" s="285"/>
      <c r="F190" s="431"/>
      <c r="G190" s="496"/>
    </row>
    <row r="191" spans="1:7" x14ac:dyDescent="0.25">
      <c r="A191" s="109" t="s">
        <v>1711</v>
      </c>
      <c r="B191" s="51"/>
      <c r="C191" s="50" t="s">
        <v>383</v>
      </c>
      <c r="D191" s="51" t="s">
        <v>8</v>
      </c>
      <c r="E191" s="186">
        <v>1</v>
      </c>
      <c r="F191" s="126"/>
      <c r="G191" s="209"/>
    </row>
    <row r="192" spans="1:7" x14ac:dyDescent="0.25">
      <c r="A192" s="404"/>
      <c r="B192" s="432"/>
      <c r="C192" s="433"/>
      <c r="D192" s="432"/>
      <c r="E192" s="285"/>
      <c r="F192" s="431"/>
      <c r="G192" s="496"/>
    </row>
    <row r="193" spans="1:7" x14ac:dyDescent="0.25">
      <c r="A193" s="109"/>
      <c r="B193" s="138" t="s">
        <v>205</v>
      </c>
      <c r="C193" s="60" t="s">
        <v>2268</v>
      </c>
      <c r="D193" s="51"/>
      <c r="E193" s="186"/>
      <c r="F193" s="124"/>
      <c r="G193" s="476"/>
    </row>
    <row r="194" spans="1:7" x14ac:dyDescent="0.25">
      <c r="A194" s="404"/>
      <c r="B194" s="432"/>
      <c r="C194" s="433"/>
      <c r="D194" s="432"/>
      <c r="E194" s="285"/>
      <c r="F194" s="431"/>
      <c r="G194" s="496"/>
    </row>
    <row r="195" spans="1:7" ht="48" x14ac:dyDescent="0.25">
      <c r="A195" s="109"/>
      <c r="B195" s="51"/>
      <c r="C195" s="67" t="s">
        <v>2267</v>
      </c>
      <c r="D195" s="51"/>
      <c r="E195" s="186"/>
      <c r="F195" s="124"/>
      <c r="G195" s="476"/>
    </row>
    <row r="196" spans="1:7" x14ac:dyDescent="0.25">
      <c r="A196" s="404"/>
      <c r="B196" s="432"/>
      <c r="C196" s="433"/>
      <c r="D196" s="432"/>
      <c r="E196" s="285"/>
      <c r="F196" s="431"/>
      <c r="G196" s="496"/>
    </row>
    <row r="197" spans="1:7" x14ac:dyDescent="0.25">
      <c r="A197" s="109" t="s">
        <v>1859</v>
      </c>
      <c r="B197" s="51"/>
      <c r="C197" s="50" t="s">
        <v>338</v>
      </c>
      <c r="D197" s="51" t="s">
        <v>8</v>
      </c>
      <c r="E197" s="186">
        <v>1</v>
      </c>
      <c r="F197" s="126"/>
      <c r="G197" s="209"/>
    </row>
    <row r="198" spans="1:7" x14ac:dyDescent="0.25">
      <c r="A198" s="404"/>
      <c r="B198" s="432"/>
      <c r="C198" s="433"/>
      <c r="D198" s="432"/>
      <c r="E198" s="285"/>
      <c r="F198" s="431"/>
      <c r="G198" s="496"/>
    </row>
    <row r="199" spans="1:7" ht="28.5" customHeight="1" x14ac:dyDescent="0.25">
      <c r="A199" s="526" t="s">
        <v>609</v>
      </c>
      <c r="B199" s="526"/>
      <c r="C199" s="526"/>
      <c r="D199" s="526"/>
      <c r="E199" s="526"/>
      <c r="F199" s="526"/>
      <c r="G199" s="330"/>
    </row>
    <row r="200" spans="1:7" ht="28.5" customHeight="1" x14ac:dyDescent="0.25">
      <c r="A200" s="526" t="s">
        <v>610</v>
      </c>
      <c r="B200" s="526"/>
      <c r="C200" s="526"/>
      <c r="D200" s="526"/>
      <c r="E200" s="526"/>
      <c r="F200" s="526"/>
      <c r="G200" s="330"/>
    </row>
    <row r="201" spans="1:7" x14ac:dyDescent="0.25">
      <c r="A201" s="404"/>
      <c r="B201" s="432"/>
      <c r="C201" s="433"/>
      <c r="D201" s="432"/>
      <c r="E201" s="285"/>
      <c r="F201" s="431"/>
      <c r="G201" s="496"/>
    </row>
    <row r="202" spans="1:7" ht="48" x14ac:dyDescent="0.25">
      <c r="A202" s="109"/>
      <c r="B202" s="51"/>
      <c r="C202" s="67" t="s">
        <v>2134</v>
      </c>
      <c r="D202" s="51"/>
      <c r="E202" s="186"/>
      <c r="F202" s="124"/>
      <c r="G202" s="476"/>
    </row>
    <row r="203" spans="1:7" x14ac:dyDescent="0.25">
      <c r="A203" s="404"/>
      <c r="B203" s="432"/>
      <c r="C203" s="433"/>
      <c r="D203" s="432"/>
      <c r="E203" s="285"/>
      <c r="F203" s="431"/>
      <c r="G203" s="496"/>
    </row>
    <row r="204" spans="1:7" ht="15" customHeight="1" x14ac:dyDescent="0.25">
      <c r="A204" s="109" t="s">
        <v>1860</v>
      </c>
      <c r="B204" s="51"/>
      <c r="C204" s="50" t="s">
        <v>339</v>
      </c>
      <c r="D204" s="51" t="s">
        <v>8</v>
      </c>
      <c r="E204" s="186">
        <v>1</v>
      </c>
      <c r="F204" s="126"/>
      <c r="G204" s="209"/>
    </row>
    <row r="205" spans="1:7" x14ac:dyDescent="0.25">
      <c r="A205" s="404"/>
      <c r="B205" s="432"/>
      <c r="C205" s="433"/>
      <c r="D205" s="432"/>
      <c r="E205" s="285"/>
      <c r="F205" s="431"/>
      <c r="G205" s="496"/>
    </row>
    <row r="206" spans="1:7" ht="15" customHeight="1" x14ac:dyDescent="0.25">
      <c r="A206" s="109" t="s">
        <v>1861</v>
      </c>
      <c r="B206" s="51"/>
      <c r="C206" s="50" t="s">
        <v>338</v>
      </c>
      <c r="D206" s="51" t="s">
        <v>8</v>
      </c>
      <c r="E206" s="186">
        <v>1</v>
      </c>
      <c r="F206" s="126"/>
      <c r="G206" s="209"/>
    </row>
    <row r="207" spans="1:7" x14ac:dyDescent="0.25">
      <c r="A207" s="404"/>
      <c r="B207" s="432"/>
      <c r="C207" s="433"/>
      <c r="D207" s="432"/>
      <c r="E207" s="285"/>
      <c r="F207" s="431"/>
      <c r="G207" s="496"/>
    </row>
    <row r="208" spans="1:7" ht="15" customHeight="1" x14ac:dyDescent="0.25">
      <c r="A208" s="109" t="s">
        <v>1862</v>
      </c>
      <c r="B208" s="51"/>
      <c r="C208" s="50" t="s">
        <v>337</v>
      </c>
      <c r="D208" s="51" t="s">
        <v>8</v>
      </c>
      <c r="E208" s="186">
        <v>3</v>
      </c>
      <c r="F208" s="126"/>
      <c r="G208" s="209"/>
    </row>
    <row r="209" spans="1:7" x14ac:dyDescent="0.25">
      <c r="A209" s="404"/>
      <c r="B209" s="432"/>
      <c r="C209" s="433"/>
      <c r="D209" s="432"/>
      <c r="E209" s="285"/>
      <c r="F209" s="431"/>
      <c r="G209" s="496"/>
    </row>
    <row r="210" spans="1:7" x14ac:dyDescent="0.25">
      <c r="A210" s="292" t="s">
        <v>1863</v>
      </c>
      <c r="B210" s="483"/>
      <c r="C210" s="276" t="s">
        <v>336</v>
      </c>
      <c r="D210" s="483" t="s">
        <v>8</v>
      </c>
      <c r="E210" s="211">
        <v>2</v>
      </c>
      <c r="F210" s="484"/>
      <c r="G210" s="209"/>
    </row>
    <row r="211" spans="1:7" x14ac:dyDescent="0.25">
      <c r="A211" s="404"/>
      <c r="B211" s="432"/>
      <c r="C211" s="433"/>
      <c r="D211" s="432"/>
      <c r="E211" s="285"/>
      <c r="F211" s="431"/>
      <c r="G211" s="496"/>
    </row>
    <row r="212" spans="1:7" ht="15" customHeight="1" x14ac:dyDescent="0.25">
      <c r="A212" s="340"/>
      <c r="B212" s="138" t="s">
        <v>146</v>
      </c>
      <c r="C212" s="60" t="s">
        <v>335</v>
      </c>
      <c r="D212" s="51"/>
      <c r="E212" s="186"/>
      <c r="F212" s="126"/>
      <c r="G212" s="476"/>
    </row>
    <row r="213" spans="1:7" x14ac:dyDescent="0.25">
      <c r="A213" s="404"/>
      <c r="B213" s="432"/>
      <c r="C213" s="433"/>
      <c r="D213" s="432"/>
      <c r="E213" s="285"/>
      <c r="F213" s="431"/>
      <c r="G213" s="496"/>
    </row>
    <row r="214" spans="1:7" ht="123" customHeight="1" x14ac:dyDescent="0.25">
      <c r="A214" s="109" t="s">
        <v>1864</v>
      </c>
      <c r="B214" s="51"/>
      <c r="C214" s="135" t="s">
        <v>2269</v>
      </c>
      <c r="D214" s="51" t="s">
        <v>8</v>
      </c>
      <c r="E214" s="186">
        <v>1</v>
      </c>
      <c r="F214" s="126"/>
      <c r="G214" s="209"/>
    </row>
    <row r="215" spans="1:7" x14ac:dyDescent="0.25">
      <c r="A215" s="404"/>
      <c r="B215" s="432"/>
      <c r="C215" s="433"/>
      <c r="D215" s="432"/>
      <c r="E215" s="285"/>
      <c r="F215" s="431"/>
      <c r="G215" s="496"/>
    </row>
    <row r="216" spans="1:7" ht="15" customHeight="1" x14ac:dyDescent="0.25">
      <c r="A216" s="109"/>
      <c r="B216" s="138"/>
      <c r="C216" s="60" t="s">
        <v>2270</v>
      </c>
      <c r="D216" s="51"/>
      <c r="E216" s="186"/>
      <c r="F216" s="124"/>
      <c r="G216" s="476"/>
    </row>
    <row r="217" spans="1:7" x14ac:dyDescent="0.25">
      <c r="A217" s="404"/>
      <c r="B217" s="432"/>
      <c r="C217" s="433"/>
      <c r="D217" s="432"/>
      <c r="E217" s="285"/>
      <c r="F217" s="431"/>
      <c r="G217" s="496"/>
    </row>
    <row r="218" spans="1:7" ht="36" x14ac:dyDescent="0.25">
      <c r="A218" s="109" t="s">
        <v>1865</v>
      </c>
      <c r="B218" s="51"/>
      <c r="C218" s="50" t="s">
        <v>333</v>
      </c>
      <c r="D218" s="51" t="s">
        <v>8</v>
      </c>
      <c r="E218" s="186">
        <v>1</v>
      </c>
      <c r="F218" s="126"/>
      <c r="G218" s="209"/>
    </row>
    <row r="219" spans="1:7" x14ac:dyDescent="0.25">
      <c r="A219" s="404"/>
      <c r="B219" s="432"/>
      <c r="C219" s="433"/>
      <c r="D219" s="432"/>
      <c r="E219" s="285"/>
      <c r="F219" s="431"/>
      <c r="G219" s="496"/>
    </row>
    <row r="220" spans="1:7" ht="48" x14ac:dyDescent="0.25">
      <c r="A220" s="109" t="s">
        <v>1866</v>
      </c>
      <c r="B220" s="51" t="s">
        <v>15</v>
      </c>
      <c r="C220" s="50" t="s">
        <v>2271</v>
      </c>
      <c r="D220" s="214" t="s">
        <v>88</v>
      </c>
      <c r="E220" s="186">
        <v>5</v>
      </c>
      <c r="F220" s="126"/>
      <c r="G220" s="209"/>
    </row>
    <row r="221" spans="1:7" x14ac:dyDescent="0.25">
      <c r="A221" s="404"/>
      <c r="B221" s="432"/>
      <c r="C221" s="433"/>
      <c r="D221" s="432"/>
      <c r="E221" s="285"/>
      <c r="F221" s="431"/>
      <c r="G221" s="496"/>
    </row>
    <row r="222" spans="1:7" ht="36" x14ac:dyDescent="0.25">
      <c r="A222" s="109"/>
      <c r="B222" s="138" t="s">
        <v>12</v>
      </c>
      <c r="C222" s="60" t="s">
        <v>332</v>
      </c>
      <c r="D222" s="51"/>
      <c r="E222" s="186"/>
      <c r="F222" s="124"/>
      <c r="G222" s="476"/>
    </row>
    <row r="223" spans="1:7" x14ac:dyDescent="0.25">
      <c r="A223" s="404"/>
      <c r="B223" s="432"/>
      <c r="C223" s="433"/>
      <c r="D223" s="432"/>
      <c r="E223" s="285"/>
      <c r="F223" s="431"/>
      <c r="G223" s="496"/>
    </row>
    <row r="224" spans="1:7" ht="15" customHeight="1" x14ac:dyDescent="0.25">
      <c r="A224" s="109" t="s">
        <v>1867</v>
      </c>
      <c r="B224" s="51"/>
      <c r="C224" s="50" t="s">
        <v>331</v>
      </c>
      <c r="D224" s="51" t="s">
        <v>8</v>
      </c>
      <c r="E224" s="186">
        <v>1</v>
      </c>
      <c r="F224" s="126"/>
      <c r="G224" s="209"/>
    </row>
    <row r="225" spans="1:7" x14ac:dyDescent="0.25">
      <c r="A225" s="404"/>
      <c r="B225" s="432"/>
      <c r="C225" s="433"/>
      <c r="D225" s="432"/>
      <c r="E225" s="285"/>
      <c r="F225" s="431"/>
      <c r="G225" s="496"/>
    </row>
    <row r="226" spans="1:7" ht="24" x14ac:dyDescent="0.25">
      <c r="A226" s="109" t="s">
        <v>1868</v>
      </c>
      <c r="B226" s="51" t="s">
        <v>295</v>
      </c>
      <c r="C226" s="50" t="s">
        <v>294</v>
      </c>
      <c r="D226" s="51" t="s">
        <v>8</v>
      </c>
      <c r="E226" s="186">
        <v>2</v>
      </c>
      <c r="F226" s="126"/>
      <c r="G226" s="209"/>
    </row>
    <row r="227" spans="1:7" x14ac:dyDescent="0.25">
      <c r="A227" s="404"/>
      <c r="B227" s="432"/>
      <c r="C227" s="433"/>
      <c r="D227" s="432"/>
      <c r="E227" s="285"/>
      <c r="F227" s="431"/>
      <c r="G227" s="496"/>
    </row>
    <row r="228" spans="1:7" ht="15" customHeight="1" x14ac:dyDescent="0.25">
      <c r="A228" s="249" t="s">
        <v>1870</v>
      </c>
      <c r="B228" s="210" t="s">
        <v>2202</v>
      </c>
      <c r="C228" s="119" t="s">
        <v>263</v>
      </c>
      <c r="D228" s="142" t="s">
        <v>8</v>
      </c>
      <c r="E228" s="187">
        <v>3</v>
      </c>
      <c r="F228" s="123"/>
      <c r="G228" s="209"/>
    </row>
    <row r="229" spans="1:7" x14ac:dyDescent="0.25">
      <c r="A229" s="404"/>
      <c r="B229" s="432"/>
      <c r="C229" s="433"/>
      <c r="D229" s="432"/>
      <c r="E229" s="285"/>
      <c r="F229" s="431"/>
      <c r="G229" s="496"/>
    </row>
    <row r="230" spans="1:7" x14ac:dyDescent="0.25">
      <c r="A230" s="249"/>
      <c r="B230" s="210"/>
      <c r="C230" s="119"/>
      <c r="D230" s="142"/>
      <c r="E230" s="187"/>
      <c r="F230" s="123"/>
      <c r="G230" s="209"/>
    </row>
    <row r="231" spans="1:7" x14ac:dyDescent="0.25">
      <c r="A231" s="404"/>
      <c r="B231" s="432"/>
      <c r="C231" s="433"/>
      <c r="D231" s="432"/>
      <c r="E231" s="285"/>
      <c r="F231" s="431"/>
      <c r="G231" s="496"/>
    </row>
    <row r="232" spans="1:7" ht="28.5" customHeight="1" x14ac:dyDescent="0.25">
      <c r="A232" s="526" t="s">
        <v>609</v>
      </c>
      <c r="B232" s="526"/>
      <c r="C232" s="526"/>
      <c r="D232" s="526"/>
      <c r="E232" s="526"/>
      <c r="F232" s="526"/>
      <c r="G232" s="330"/>
    </row>
    <row r="233" spans="1:7" ht="28.5" customHeight="1" x14ac:dyDescent="0.25">
      <c r="A233" s="526" t="s">
        <v>610</v>
      </c>
      <c r="B233" s="526"/>
      <c r="C233" s="526"/>
      <c r="D233" s="526"/>
      <c r="E233" s="526"/>
      <c r="F233" s="526"/>
      <c r="G233" s="330"/>
    </row>
    <row r="234" spans="1:7" x14ac:dyDescent="0.25">
      <c r="A234" s="404"/>
      <c r="B234" s="432"/>
      <c r="C234" s="433"/>
      <c r="D234" s="432"/>
      <c r="E234" s="285"/>
      <c r="F234" s="431"/>
      <c r="G234" s="496"/>
    </row>
    <row r="235" spans="1:7" ht="36" x14ac:dyDescent="0.25">
      <c r="A235" s="249" t="s">
        <v>1869</v>
      </c>
      <c r="B235" s="210" t="s">
        <v>2201</v>
      </c>
      <c r="C235" s="119" t="s">
        <v>2222</v>
      </c>
      <c r="D235" s="142" t="s">
        <v>6</v>
      </c>
      <c r="E235" s="187">
        <v>30</v>
      </c>
      <c r="F235" s="123"/>
      <c r="G235" s="209"/>
    </row>
    <row r="236" spans="1:7" x14ac:dyDescent="0.25">
      <c r="A236" s="404"/>
      <c r="B236" s="432"/>
      <c r="C236" s="433"/>
      <c r="D236" s="432"/>
      <c r="E236" s="285"/>
      <c r="F236" s="431"/>
      <c r="G236" s="496"/>
    </row>
    <row r="237" spans="1:7" ht="36" x14ac:dyDescent="0.25">
      <c r="A237" s="249" t="s">
        <v>1871</v>
      </c>
      <c r="B237" s="210" t="s">
        <v>2272</v>
      </c>
      <c r="C237" s="119" t="s">
        <v>2303</v>
      </c>
      <c r="D237" s="142" t="s">
        <v>8</v>
      </c>
      <c r="E237" s="187">
        <v>5</v>
      </c>
      <c r="F237" s="123"/>
      <c r="G237" s="209"/>
    </row>
    <row r="238" spans="1:7" x14ac:dyDescent="0.25">
      <c r="A238" s="404"/>
      <c r="B238" s="432"/>
      <c r="C238" s="433"/>
      <c r="D238" s="432"/>
      <c r="E238" s="285"/>
      <c r="F238" s="431"/>
      <c r="G238" s="496"/>
    </row>
    <row r="239" spans="1:7" ht="41.25" customHeight="1" x14ac:dyDescent="0.25">
      <c r="A239" s="249"/>
      <c r="B239" s="207" t="s">
        <v>2273</v>
      </c>
      <c r="C239" s="38" t="s">
        <v>2274</v>
      </c>
      <c r="D239" s="142"/>
      <c r="E239" s="187"/>
      <c r="F239" s="123"/>
      <c r="G239" s="498"/>
    </row>
    <row r="240" spans="1:7" x14ac:dyDescent="0.25">
      <c r="A240" s="404"/>
      <c r="B240" s="432"/>
      <c r="C240" s="433"/>
      <c r="D240" s="432"/>
      <c r="E240" s="285"/>
      <c r="F240" s="431"/>
      <c r="G240" s="496"/>
    </row>
    <row r="241" spans="1:7" ht="15" customHeight="1" x14ac:dyDescent="0.25">
      <c r="A241" s="249" t="s">
        <v>1872</v>
      </c>
      <c r="B241" s="51"/>
      <c r="C241" s="50" t="s">
        <v>330</v>
      </c>
      <c r="D241" s="142" t="s">
        <v>328</v>
      </c>
      <c r="E241" s="187">
        <v>1</v>
      </c>
      <c r="F241" s="123"/>
      <c r="G241" s="209"/>
    </row>
    <row r="242" spans="1:7" x14ac:dyDescent="0.25">
      <c r="A242" s="404"/>
      <c r="B242" s="432"/>
      <c r="C242" s="433"/>
      <c r="D242" s="432"/>
      <c r="E242" s="285"/>
      <c r="F242" s="431"/>
      <c r="G242" s="496"/>
    </row>
    <row r="243" spans="1:7" x14ac:dyDescent="0.25">
      <c r="A243" s="109" t="s">
        <v>1873</v>
      </c>
      <c r="B243" s="51"/>
      <c r="C243" s="50" t="s">
        <v>329</v>
      </c>
      <c r="D243" s="142" t="s">
        <v>328</v>
      </c>
      <c r="E243" s="187">
        <v>1</v>
      </c>
      <c r="F243" s="123"/>
      <c r="G243" s="209"/>
    </row>
    <row r="244" spans="1:7" x14ac:dyDescent="0.25">
      <c r="A244" s="404"/>
      <c r="B244" s="432"/>
      <c r="C244" s="433"/>
      <c r="D244" s="432"/>
      <c r="E244" s="285"/>
      <c r="F244" s="431"/>
      <c r="G244" s="496"/>
    </row>
    <row r="245" spans="1:7" ht="24" customHeight="1" x14ac:dyDescent="0.25">
      <c r="A245" s="340" t="s">
        <v>1712</v>
      </c>
      <c r="B245" s="138" t="s">
        <v>327</v>
      </c>
      <c r="C245" s="60" t="s">
        <v>326</v>
      </c>
      <c r="D245" s="51"/>
      <c r="E245" s="186"/>
      <c r="F245" s="126"/>
      <c r="G245" s="476"/>
    </row>
    <row r="246" spans="1:7" x14ac:dyDescent="0.25">
      <c r="A246" s="404"/>
      <c r="B246" s="432"/>
      <c r="C246" s="433"/>
      <c r="D246" s="432"/>
      <c r="E246" s="285"/>
      <c r="F246" s="431"/>
      <c r="G246" s="496"/>
    </row>
    <row r="247" spans="1:7" ht="24" x14ac:dyDescent="0.25">
      <c r="A247" s="109"/>
      <c r="B247" s="138" t="s">
        <v>5</v>
      </c>
      <c r="C247" s="60" t="s">
        <v>2243</v>
      </c>
      <c r="D247" s="51"/>
      <c r="E247" s="186"/>
      <c r="F247" s="126"/>
      <c r="G247" s="476"/>
    </row>
    <row r="248" spans="1:7" x14ac:dyDescent="0.25">
      <c r="A248" s="404"/>
      <c r="B248" s="432"/>
      <c r="C248" s="433"/>
      <c r="D248" s="432"/>
      <c r="E248" s="285"/>
      <c r="F248" s="431"/>
      <c r="G248" s="496"/>
    </row>
    <row r="249" spans="1:7" x14ac:dyDescent="0.25">
      <c r="A249" s="292" t="s">
        <v>1713</v>
      </c>
      <c r="B249" s="483"/>
      <c r="C249" s="276" t="s">
        <v>2277</v>
      </c>
      <c r="D249" s="483" t="s">
        <v>6</v>
      </c>
      <c r="E249" s="211">
        <v>5</v>
      </c>
      <c r="F249" s="484"/>
      <c r="G249" s="209"/>
    </row>
    <row r="250" spans="1:7" x14ac:dyDescent="0.25">
      <c r="A250" s="485"/>
      <c r="B250" s="486"/>
      <c r="C250" s="487"/>
      <c r="D250" s="486"/>
      <c r="E250" s="285"/>
      <c r="F250" s="431"/>
      <c r="G250" s="496"/>
    </row>
    <row r="251" spans="1:7" x14ac:dyDescent="0.25">
      <c r="A251" s="292" t="s">
        <v>1714</v>
      </c>
      <c r="B251" s="483"/>
      <c r="C251" s="276" t="s">
        <v>2278</v>
      </c>
      <c r="D251" s="483" t="s">
        <v>6</v>
      </c>
      <c r="E251" s="211">
        <v>10</v>
      </c>
      <c r="F251" s="484"/>
      <c r="G251" s="209"/>
    </row>
    <row r="252" spans="1:7" x14ac:dyDescent="0.25">
      <c r="A252" s="485"/>
      <c r="B252" s="486"/>
      <c r="C252" s="487"/>
      <c r="D252" s="486"/>
      <c r="E252" s="285"/>
      <c r="F252" s="431"/>
      <c r="G252" s="496"/>
    </row>
    <row r="253" spans="1:7" x14ac:dyDescent="0.25">
      <c r="A253" s="292" t="s">
        <v>1715</v>
      </c>
      <c r="B253" s="483"/>
      <c r="C253" s="276" t="s">
        <v>2244</v>
      </c>
      <c r="D253" s="483" t="s">
        <v>6</v>
      </c>
      <c r="E253" s="211">
        <v>5</v>
      </c>
      <c r="F253" s="484"/>
      <c r="G253" s="209"/>
    </row>
    <row r="254" spans="1:7" x14ac:dyDescent="0.25">
      <c r="A254" s="404"/>
      <c r="B254" s="432"/>
      <c r="C254" s="433"/>
      <c r="D254" s="432"/>
      <c r="E254" s="285"/>
      <c r="F254" s="431"/>
      <c r="G254" s="496"/>
    </row>
    <row r="255" spans="1:7" ht="24" x14ac:dyDescent="0.25">
      <c r="A255" s="109"/>
      <c r="B255" s="138" t="s">
        <v>205</v>
      </c>
      <c r="C255" s="60" t="s">
        <v>382</v>
      </c>
      <c r="D255" s="51"/>
      <c r="E255" s="186"/>
      <c r="F255" s="123"/>
      <c r="G255" s="498"/>
    </row>
    <row r="256" spans="1:7" x14ac:dyDescent="0.25">
      <c r="A256" s="404"/>
      <c r="B256" s="432"/>
      <c r="C256" s="433"/>
      <c r="D256" s="432"/>
      <c r="E256" s="285"/>
      <c r="F256" s="431"/>
      <c r="G256" s="496"/>
    </row>
    <row r="257" spans="1:7" x14ac:dyDescent="0.25">
      <c r="A257" s="109" t="s">
        <v>1716</v>
      </c>
      <c r="B257" s="51"/>
      <c r="C257" s="50" t="s">
        <v>325</v>
      </c>
      <c r="D257" s="51" t="s">
        <v>8</v>
      </c>
      <c r="E257" s="186">
        <v>2</v>
      </c>
      <c r="F257" s="123"/>
      <c r="G257" s="209"/>
    </row>
    <row r="258" spans="1:7" x14ac:dyDescent="0.25">
      <c r="A258" s="404"/>
      <c r="B258" s="432"/>
      <c r="C258" s="433"/>
      <c r="D258" s="432"/>
      <c r="E258" s="285"/>
      <c r="F258" s="431"/>
      <c r="G258" s="496"/>
    </row>
    <row r="259" spans="1:7" ht="24" x14ac:dyDescent="0.25">
      <c r="A259" s="109"/>
      <c r="B259" s="138" t="s">
        <v>324</v>
      </c>
      <c r="C259" s="60" t="s">
        <v>2258</v>
      </c>
      <c r="D259" s="51"/>
      <c r="E259" s="186"/>
      <c r="F259" s="123"/>
      <c r="G259" s="498"/>
    </row>
    <row r="260" spans="1:7" x14ac:dyDescent="0.25">
      <c r="A260" s="404"/>
      <c r="B260" s="432"/>
      <c r="C260" s="433"/>
      <c r="D260" s="432"/>
      <c r="E260" s="285"/>
      <c r="F260" s="431"/>
      <c r="G260" s="496"/>
    </row>
    <row r="261" spans="1:7" ht="36" x14ac:dyDescent="0.25">
      <c r="A261" s="109" t="s">
        <v>1717</v>
      </c>
      <c r="B261" s="51"/>
      <c r="C261" s="50" t="s">
        <v>2136</v>
      </c>
      <c r="D261" s="51" t="s">
        <v>8</v>
      </c>
      <c r="E261" s="186">
        <v>1</v>
      </c>
      <c r="F261" s="123"/>
      <c r="G261" s="209"/>
    </row>
    <row r="262" spans="1:7" x14ac:dyDescent="0.25">
      <c r="A262" s="404"/>
      <c r="B262" s="432"/>
      <c r="C262" s="433"/>
      <c r="D262" s="432"/>
      <c r="E262" s="285"/>
      <c r="F262" s="431"/>
      <c r="G262" s="496"/>
    </row>
    <row r="263" spans="1:7" ht="36" x14ac:dyDescent="0.25">
      <c r="A263" s="109" t="s">
        <v>1718</v>
      </c>
      <c r="B263" s="51"/>
      <c r="C263" s="50" t="s">
        <v>2137</v>
      </c>
      <c r="D263" s="51" t="s">
        <v>8</v>
      </c>
      <c r="E263" s="186">
        <v>1</v>
      </c>
      <c r="F263" s="123"/>
      <c r="G263" s="209"/>
    </row>
    <row r="264" spans="1:7" x14ac:dyDescent="0.25">
      <c r="A264" s="404"/>
      <c r="B264" s="432"/>
      <c r="C264" s="433"/>
      <c r="D264" s="432"/>
      <c r="E264" s="285"/>
      <c r="F264" s="431"/>
      <c r="G264" s="496"/>
    </row>
    <row r="265" spans="1:7" ht="24" x14ac:dyDescent="0.25">
      <c r="A265" s="109" t="s">
        <v>1719</v>
      </c>
      <c r="B265" s="51" t="s">
        <v>322</v>
      </c>
      <c r="C265" s="50" t="s">
        <v>2276</v>
      </c>
      <c r="D265" s="51" t="s">
        <v>8</v>
      </c>
      <c r="E265" s="186">
        <v>1</v>
      </c>
      <c r="F265" s="123"/>
      <c r="G265" s="209"/>
    </row>
    <row r="266" spans="1:7" x14ac:dyDescent="0.25">
      <c r="A266" s="404"/>
      <c r="B266" s="432"/>
      <c r="C266" s="433"/>
      <c r="D266" s="432"/>
      <c r="E266" s="285"/>
      <c r="F266" s="431"/>
      <c r="G266" s="496"/>
    </row>
    <row r="267" spans="1:7" ht="24" x14ac:dyDescent="0.25">
      <c r="A267" s="109" t="s">
        <v>1720</v>
      </c>
      <c r="B267" s="51" t="s">
        <v>12</v>
      </c>
      <c r="C267" s="50" t="s">
        <v>2275</v>
      </c>
      <c r="D267" s="214" t="s">
        <v>88</v>
      </c>
      <c r="E267" s="186">
        <v>5</v>
      </c>
      <c r="F267" s="123"/>
      <c r="G267" s="209"/>
    </row>
    <row r="268" spans="1:7" x14ac:dyDescent="0.25">
      <c r="A268" s="434"/>
      <c r="B268" s="435"/>
      <c r="C268" s="436"/>
      <c r="D268" s="251"/>
      <c r="E268" s="466"/>
      <c r="F268" s="431"/>
      <c r="G268" s="437"/>
    </row>
    <row r="269" spans="1:7" x14ac:dyDescent="0.25">
      <c r="A269" s="109"/>
      <c r="B269" s="51"/>
      <c r="C269" s="50"/>
      <c r="D269" s="210"/>
      <c r="E269" s="186"/>
      <c r="F269" s="123"/>
      <c r="G269" s="209"/>
    </row>
    <row r="270" spans="1:7" ht="28.5" customHeight="1" x14ac:dyDescent="0.25">
      <c r="A270" s="526" t="s">
        <v>609</v>
      </c>
      <c r="B270" s="526"/>
      <c r="C270" s="526"/>
      <c r="D270" s="526"/>
      <c r="E270" s="526"/>
      <c r="F270" s="526"/>
      <c r="G270" s="330"/>
    </row>
    <row r="271" spans="1:7" ht="28.5" customHeight="1" x14ac:dyDescent="0.25">
      <c r="A271" s="526" t="s">
        <v>610</v>
      </c>
      <c r="B271" s="526"/>
      <c r="C271" s="526"/>
      <c r="D271" s="526"/>
      <c r="E271" s="526"/>
      <c r="F271" s="526"/>
      <c r="G271" s="330"/>
    </row>
    <row r="272" spans="1:7" x14ac:dyDescent="0.25">
      <c r="A272" s="404"/>
      <c r="B272" s="432"/>
      <c r="C272" s="433"/>
      <c r="D272" s="432"/>
      <c r="E272" s="285"/>
      <c r="F272" s="431"/>
      <c r="G272" s="496"/>
    </row>
    <row r="273" spans="1:7" ht="24" x14ac:dyDescent="0.25">
      <c r="A273" s="340" t="s">
        <v>1721</v>
      </c>
      <c r="B273" s="138" t="s">
        <v>321</v>
      </c>
      <c r="C273" s="60" t="s">
        <v>320</v>
      </c>
      <c r="D273" s="51"/>
      <c r="E273" s="186"/>
      <c r="F273" s="123"/>
      <c r="G273" s="498"/>
    </row>
    <row r="274" spans="1:7" x14ac:dyDescent="0.25">
      <c r="A274" s="404"/>
      <c r="B274" s="432"/>
      <c r="C274" s="433"/>
      <c r="D274" s="432"/>
      <c r="E274" s="285"/>
      <c r="F274" s="431"/>
      <c r="G274" s="496"/>
    </row>
    <row r="275" spans="1:7" ht="36" x14ac:dyDescent="0.25">
      <c r="A275" s="109" t="s">
        <v>1722</v>
      </c>
      <c r="B275" s="51" t="s">
        <v>18</v>
      </c>
      <c r="C275" s="50" t="s">
        <v>2279</v>
      </c>
      <c r="D275" s="214" t="s">
        <v>88</v>
      </c>
      <c r="E275" s="186">
        <v>6</v>
      </c>
      <c r="F275" s="123"/>
      <c r="G275" s="209"/>
    </row>
    <row r="276" spans="1:7" x14ac:dyDescent="0.25">
      <c r="A276" s="404"/>
      <c r="B276" s="432"/>
      <c r="C276" s="433"/>
      <c r="D276" s="432"/>
      <c r="E276" s="285"/>
      <c r="F276" s="431"/>
      <c r="G276" s="496"/>
    </row>
    <row r="277" spans="1:7" ht="24" x14ac:dyDescent="0.25">
      <c r="A277" s="340" t="s">
        <v>1723</v>
      </c>
      <c r="B277" s="138" t="s">
        <v>318</v>
      </c>
      <c r="C277" s="60" t="s">
        <v>317</v>
      </c>
      <c r="D277" s="51"/>
      <c r="E277" s="186"/>
      <c r="F277" s="123"/>
      <c r="G277" s="451"/>
    </row>
    <row r="278" spans="1:7" x14ac:dyDescent="0.25">
      <c r="A278" s="404"/>
      <c r="B278" s="432"/>
      <c r="C278" s="433"/>
      <c r="D278" s="432"/>
      <c r="E278" s="285"/>
      <c r="F278" s="431"/>
      <c r="G278" s="496"/>
    </row>
    <row r="279" spans="1:7" ht="38.25" customHeight="1" x14ac:dyDescent="0.25">
      <c r="A279" s="109" t="s">
        <v>1874</v>
      </c>
      <c r="B279" s="51" t="s">
        <v>18</v>
      </c>
      <c r="C279" s="50" t="s">
        <v>2280</v>
      </c>
      <c r="D279" s="214" t="s">
        <v>88</v>
      </c>
      <c r="E279" s="186">
        <v>5</v>
      </c>
      <c r="F279" s="123"/>
      <c r="G279" s="209"/>
    </row>
    <row r="280" spans="1:7" x14ac:dyDescent="0.25">
      <c r="A280" s="404"/>
      <c r="B280" s="432"/>
      <c r="C280" s="433"/>
      <c r="D280" s="432"/>
      <c r="E280" s="285"/>
      <c r="F280" s="431"/>
      <c r="G280" s="496"/>
    </row>
    <row r="281" spans="1:7" ht="24" x14ac:dyDescent="0.25">
      <c r="A281" s="340" t="s">
        <v>1724</v>
      </c>
      <c r="B281" s="138" t="s">
        <v>315</v>
      </c>
      <c r="C281" s="60" t="s">
        <v>314</v>
      </c>
      <c r="D281" s="51"/>
      <c r="E281" s="186"/>
      <c r="F281" s="123"/>
      <c r="G281" s="451"/>
    </row>
    <row r="282" spans="1:7" x14ac:dyDescent="0.25">
      <c r="A282" s="404"/>
      <c r="B282" s="432"/>
      <c r="C282" s="433"/>
      <c r="D282" s="432"/>
      <c r="E282" s="285"/>
      <c r="F282" s="431"/>
      <c r="G282" s="496"/>
    </row>
    <row r="283" spans="1:7" ht="26.25" customHeight="1" x14ac:dyDescent="0.25">
      <c r="A283" s="109" t="s">
        <v>1725</v>
      </c>
      <c r="B283" s="51" t="s">
        <v>313</v>
      </c>
      <c r="C283" s="50" t="s">
        <v>2281</v>
      </c>
      <c r="D283" s="214" t="s">
        <v>88</v>
      </c>
      <c r="E283" s="186">
        <v>30</v>
      </c>
      <c r="F283" s="123"/>
      <c r="G283" s="209"/>
    </row>
    <row r="284" spans="1:7" x14ac:dyDescent="0.25">
      <c r="A284" s="404"/>
      <c r="B284" s="432"/>
      <c r="C284" s="433"/>
      <c r="D284" s="432"/>
      <c r="E284" s="285"/>
      <c r="F284" s="431"/>
      <c r="G284" s="496"/>
    </row>
    <row r="285" spans="1:7" ht="24" x14ac:dyDescent="0.25">
      <c r="A285" s="109" t="s">
        <v>1875</v>
      </c>
      <c r="B285" s="51" t="s">
        <v>311</v>
      </c>
      <c r="C285" s="50" t="s">
        <v>310</v>
      </c>
      <c r="D285" s="51" t="s">
        <v>92</v>
      </c>
      <c r="E285" s="186">
        <v>5</v>
      </c>
      <c r="F285" s="128"/>
      <c r="G285" s="209"/>
    </row>
    <row r="286" spans="1:7" x14ac:dyDescent="0.25">
      <c r="A286" s="404"/>
      <c r="B286" s="432"/>
      <c r="C286" s="433"/>
      <c r="D286" s="432"/>
      <c r="E286" s="285"/>
      <c r="F286" s="431"/>
      <c r="G286" s="496"/>
    </row>
    <row r="287" spans="1:7" ht="24" customHeight="1" x14ac:dyDescent="0.25">
      <c r="A287" s="340" t="s">
        <v>1726</v>
      </c>
      <c r="B287" s="138" t="s">
        <v>381</v>
      </c>
      <c r="C287" s="60" t="s">
        <v>380</v>
      </c>
      <c r="D287" s="51"/>
      <c r="E287" s="186"/>
      <c r="F287" s="128"/>
      <c r="G287" s="498"/>
    </row>
    <row r="288" spans="1:7" x14ac:dyDescent="0.25">
      <c r="A288" s="404"/>
      <c r="B288" s="432"/>
      <c r="C288" s="433"/>
      <c r="D288" s="432"/>
      <c r="E288" s="285"/>
      <c r="F288" s="431"/>
      <c r="G288" s="496"/>
    </row>
    <row r="289" spans="1:7" ht="24" customHeight="1" x14ac:dyDescent="0.25">
      <c r="A289" s="109"/>
      <c r="B289" s="138" t="s">
        <v>5</v>
      </c>
      <c r="C289" s="60" t="s">
        <v>2282</v>
      </c>
      <c r="D289" s="51"/>
      <c r="E289" s="186"/>
      <c r="F289" s="128"/>
      <c r="G289" s="498"/>
    </row>
    <row r="290" spans="1:7" x14ac:dyDescent="0.25">
      <c r="A290" s="404"/>
      <c r="B290" s="432"/>
      <c r="C290" s="433"/>
      <c r="D290" s="432"/>
      <c r="E290" s="285"/>
      <c r="F290" s="431"/>
      <c r="G290" s="496"/>
    </row>
    <row r="291" spans="1:7" x14ac:dyDescent="0.25">
      <c r="A291" s="109" t="s">
        <v>1727</v>
      </c>
      <c r="B291" s="51"/>
      <c r="C291" s="50" t="s">
        <v>379</v>
      </c>
      <c r="D291" s="51" t="s">
        <v>6</v>
      </c>
      <c r="E291" s="186">
        <v>18</v>
      </c>
      <c r="F291" s="128"/>
      <c r="G291" s="209"/>
    </row>
    <row r="292" spans="1:7" x14ac:dyDescent="0.25">
      <c r="A292" s="404"/>
      <c r="B292" s="432"/>
      <c r="C292" s="433"/>
      <c r="D292" s="432"/>
      <c r="E292" s="285"/>
      <c r="F292" s="431"/>
      <c r="G292" s="496"/>
    </row>
    <row r="293" spans="1:7" x14ac:dyDescent="0.25">
      <c r="A293" s="109"/>
      <c r="B293" s="138" t="s">
        <v>208</v>
      </c>
      <c r="C293" s="60" t="s">
        <v>378</v>
      </c>
      <c r="D293" s="51"/>
      <c r="E293" s="186"/>
      <c r="F293" s="128"/>
      <c r="G293" s="498"/>
    </row>
    <row r="294" spans="1:7" x14ac:dyDescent="0.25">
      <c r="A294" s="404"/>
      <c r="B294" s="432"/>
      <c r="C294" s="433"/>
      <c r="D294" s="432"/>
      <c r="E294" s="285"/>
      <c r="F294" s="431"/>
      <c r="G294" s="496"/>
    </row>
    <row r="295" spans="1:7" x14ac:dyDescent="0.25">
      <c r="A295" s="109" t="s">
        <v>1728</v>
      </c>
      <c r="B295" s="51"/>
      <c r="C295" s="50" t="s">
        <v>377</v>
      </c>
      <c r="D295" s="51" t="s">
        <v>6</v>
      </c>
      <c r="E295" s="186">
        <v>2</v>
      </c>
      <c r="F295" s="128"/>
      <c r="G295" s="209"/>
    </row>
    <row r="296" spans="1:7" x14ac:dyDescent="0.25">
      <c r="A296" s="404"/>
      <c r="B296" s="432"/>
      <c r="C296" s="433"/>
      <c r="D296" s="432"/>
      <c r="E296" s="285"/>
      <c r="F296" s="431"/>
      <c r="G296" s="496"/>
    </row>
    <row r="297" spans="1:7" x14ac:dyDescent="0.25">
      <c r="A297" s="109" t="s">
        <v>1876</v>
      </c>
      <c r="B297" s="51" t="s">
        <v>13</v>
      </c>
      <c r="C297" s="50" t="s">
        <v>376</v>
      </c>
      <c r="D297" s="51" t="s">
        <v>8</v>
      </c>
      <c r="E297" s="186">
        <v>5</v>
      </c>
      <c r="F297" s="128"/>
      <c r="G297" s="209"/>
    </row>
    <row r="298" spans="1:7" x14ac:dyDescent="0.25">
      <c r="A298" s="404"/>
      <c r="B298" s="432"/>
      <c r="C298" s="433"/>
      <c r="D298" s="432"/>
      <c r="E298" s="285"/>
      <c r="F298" s="431"/>
      <c r="G298" s="496"/>
    </row>
    <row r="299" spans="1:7" x14ac:dyDescent="0.25">
      <c r="A299" s="109"/>
      <c r="B299" s="51"/>
      <c r="C299" s="50"/>
      <c r="D299" s="51"/>
      <c r="E299" s="186"/>
      <c r="F299" s="128"/>
      <c r="G299" s="498"/>
    </row>
    <row r="300" spans="1:7" x14ac:dyDescent="0.25">
      <c r="A300" s="404"/>
      <c r="B300" s="432"/>
      <c r="C300" s="433"/>
      <c r="D300" s="432"/>
      <c r="E300" s="285"/>
      <c r="F300" s="431"/>
      <c r="G300" s="496"/>
    </row>
    <row r="301" spans="1:7" x14ac:dyDescent="0.25">
      <c r="A301" s="109"/>
      <c r="B301" s="51"/>
      <c r="C301" s="50"/>
      <c r="D301" s="51"/>
      <c r="E301" s="186"/>
      <c r="F301" s="128"/>
      <c r="G301" s="498"/>
    </row>
    <row r="302" spans="1:7" x14ac:dyDescent="0.25">
      <c r="A302" s="404"/>
      <c r="B302" s="432"/>
      <c r="C302" s="433"/>
      <c r="D302" s="432"/>
      <c r="E302" s="285"/>
      <c r="F302" s="431"/>
      <c r="G302" s="496"/>
    </row>
    <row r="303" spans="1:7" x14ac:dyDescent="0.25">
      <c r="A303" s="109"/>
      <c r="B303" s="51"/>
      <c r="C303" s="50"/>
      <c r="D303" s="51"/>
      <c r="E303" s="186"/>
      <c r="F303" s="128"/>
      <c r="G303" s="498"/>
    </row>
    <row r="304" spans="1:7" x14ac:dyDescent="0.25">
      <c r="A304" s="404"/>
      <c r="B304" s="432"/>
      <c r="C304" s="433"/>
      <c r="D304" s="432"/>
      <c r="E304" s="285"/>
      <c r="F304" s="431"/>
      <c r="G304" s="496"/>
    </row>
    <row r="305" spans="1:8" x14ac:dyDescent="0.25">
      <c r="A305" s="109"/>
      <c r="B305" s="51"/>
      <c r="C305" s="50"/>
      <c r="D305" s="51"/>
      <c r="E305" s="186"/>
      <c r="F305" s="128"/>
      <c r="G305" s="498"/>
    </row>
    <row r="306" spans="1:8" x14ac:dyDescent="0.25">
      <c r="A306" s="404"/>
      <c r="B306" s="432"/>
      <c r="C306" s="433"/>
      <c r="D306" s="432"/>
      <c r="E306" s="285"/>
      <c r="F306" s="431"/>
      <c r="G306" s="496"/>
    </row>
    <row r="307" spans="1:8" x14ac:dyDescent="0.25">
      <c r="A307" s="109"/>
      <c r="B307" s="51"/>
      <c r="C307" s="50"/>
      <c r="D307" s="51"/>
      <c r="E307" s="186"/>
      <c r="F307" s="128"/>
      <c r="G307" s="498"/>
    </row>
    <row r="308" spans="1:8" x14ac:dyDescent="0.25">
      <c r="A308" s="404"/>
      <c r="B308" s="432"/>
      <c r="C308" s="433"/>
      <c r="D308" s="432"/>
      <c r="E308" s="285"/>
      <c r="F308" s="431"/>
      <c r="G308" s="496"/>
    </row>
    <row r="309" spans="1:8" x14ac:dyDescent="0.25">
      <c r="A309" s="109"/>
      <c r="B309" s="51"/>
      <c r="C309" s="50"/>
      <c r="D309" s="51"/>
      <c r="E309" s="186"/>
      <c r="F309" s="128"/>
      <c r="G309" s="498"/>
    </row>
    <row r="310" spans="1:8" x14ac:dyDescent="0.25">
      <c r="A310" s="404"/>
      <c r="B310" s="432"/>
      <c r="C310" s="433"/>
      <c r="D310" s="432"/>
      <c r="E310" s="285"/>
      <c r="F310" s="431"/>
      <c r="G310" s="496"/>
    </row>
    <row r="311" spans="1:8" x14ac:dyDescent="0.25">
      <c r="A311" s="109"/>
      <c r="B311" s="51"/>
      <c r="C311" s="50"/>
      <c r="D311" s="51"/>
      <c r="E311" s="186"/>
      <c r="F311" s="128"/>
      <c r="G311" s="498"/>
    </row>
    <row r="312" spans="1:8" x14ac:dyDescent="0.25">
      <c r="A312" s="404"/>
      <c r="B312" s="432"/>
      <c r="C312" s="433"/>
      <c r="D312" s="432"/>
      <c r="E312" s="285"/>
      <c r="F312" s="431"/>
      <c r="G312" s="496"/>
    </row>
    <row r="313" spans="1:8" x14ac:dyDescent="0.25">
      <c r="A313" s="109"/>
      <c r="B313" s="51"/>
      <c r="C313" s="50"/>
      <c r="D313" s="51"/>
      <c r="E313" s="186"/>
      <c r="F313" s="128"/>
      <c r="G313" s="498"/>
    </row>
    <row r="314" spans="1:8" s="21" customFormat="1" ht="28.5" customHeight="1" x14ac:dyDescent="0.25">
      <c r="A314" s="526" t="s">
        <v>1877</v>
      </c>
      <c r="B314" s="526"/>
      <c r="C314" s="526"/>
      <c r="D314" s="526"/>
      <c r="E314" s="526"/>
      <c r="F314" s="526"/>
      <c r="G314" s="159"/>
      <c r="H314" s="182"/>
    </row>
    <row r="315" spans="1:8" s="21" customFormat="1" x14ac:dyDescent="0.25">
      <c r="A315" s="404"/>
      <c r="B315" s="432"/>
      <c r="C315" s="433"/>
      <c r="D315" s="432"/>
      <c r="E315" s="285"/>
      <c r="F315" s="431"/>
      <c r="G315" s="496"/>
      <c r="H315" s="182"/>
    </row>
    <row r="316" spans="1:8" x14ac:dyDescent="0.25">
      <c r="A316" s="329" t="s">
        <v>1729</v>
      </c>
      <c r="B316" s="207"/>
      <c r="C316" s="284" t="s">
        <v>2109</v>
      </c>
      <c r="D316" s="207"/>
      <c r="E316" s="208"/>
      <c r="F316" s="123"/>
      <c r="G316" s="494"/>
    </row>
    <row r="317" spans="1:8" x14ac:dyDescent="0.25">
      <c r="A317" s="404"/>
      <c r="B317" s="432"/>
      <c r="C317" s="433"/>
      <c r="D317" s="432"/>
      <c r="E317" s="285"/>
      <c r="F317" s="431"/>
      <c r="G317" s="496"/>
    </row>
    <row r="318" spans="1:8" ht="24" x14ac:dyDescent="0.25">
      <c r="A318" s="231" t="s">
        <v>375</v>
      </c>
      <c r="B318" s="207" t="s">
        <v>14</v>
      </c>
      <c r="C318" s="38" t="s">
        <v>241</v>
      </c>
      <c r="D318" s="207"/>
      <c r="E318" s="186"/>
      <c r="F318" s="122"/>
      <c r="G318" s="209"/>
    </row>
    <row r="319" spans="1:8" x14ac:dyDescent="0.25">
      <c r="A319" s="404"/>
      <c r="B319" s="432"/>
      <c r="C319" s="433"/>
      <c r="D319" s="432"/>
      <c r="E319" s="285"/>
      <c r="F319" s="431"/>
      <c r="G319" s="496"/>
    </row>
    <row r="320" spans="1:8" x14ac:dyDescent="0.25">
      <c r="A320" s="108" t="s">
        <v>1730</v>
      </c>
      <c r="B320" s="210" t="s">
        <v>2203</v>
      </c>
      <c r="C320" s="119" t="s">
        <v>292</v>
      </c>
      <c r="D320" s="210" t="s">
        <v>371</v>
      </c>
      <c r="E320" s="211">
        <v>0.6</v>
      </c>
      <c r="F320" s="122"/>
      <c r="G320" s="209"/>
    </row>
    <row r="321" spans="1:7" x14ac:dyDescent="0.25">
      <c r="A321" s="404"/>
      <c r="B321" s="432"/>
      <c r="C321" s="433"/>
      <c r="D321" s="432"/>
      <c r="E321" s="285"/>
      <c r="F321" s="431"/>
      <c r="G321" s="496"/>
    </row>
    <row r="322" spans="1:7" ht="36" x14ac:dyDescent="0.25">
      <c r="A322" s="214" t="s">
        <v>1731</v>
      </c>
      <c r="B322" s="210" t="s">
        <v>2283</v>
      </c>
      <c r="C322" s="213" t="s">
        <v>2204</v>
      </c>
      <c r="D322" s="214" t="s">
        <v>88</v>
      </c>
      <c r="E322" s="187">
        <v>5</v>
      </c>
      <c r="F322" s="122"/>
      <c r="G322" s="209"/>
    </row>
    <row r="323" spans="1:7" x14ac:dyDescent="0.25">
      <c r="A323" s="404"/>
      <c r="B323" s="432"/>
      <c r="C323" s="433"/>
      <c r="D323" s="432"/>
      <c r="E323" s="285"/>
      <c r="F323" s="431"/>
      <c r="G323" s="496"/>
    </row>
    <row r="324" spans="1:7" ht="24" x14ac:dyDescent="0.25">
      <c r="A324" s="214" t="s">
        <v>1732</v>
      </c>
      <c r="B324" s="210" t="s">
        <v>2147</v>
      </c>
      <c r="C324" s="213" t="s">
        <v>2284</v>
      </c>
      <c r="D324" s="109" t="s">
        <v>273</v>
      </c>
      <c r="E324" s="187">
        <v>5</v>
      </c>
      <c r="F324" s="130"/>
      <c r="G324" s="209"/>
    </row>
    <row r="325" spans="1:7" x14ac:dyDescent="0.25">
      <c r="A325" s="404"/>
      <c r="B325" s="432"/>
      <c r="C325" s="433"/>
      <c r="D325" s="432"/>
      <c r="E325" s="285"/>
      <c r="F325" s="431"/>
      <c r="G325" s="496"/>
    </row>
    <row r="326" spans="1:7" ht="48" x14ac:dyDescent="0.25">
      <c r="A326" s="214"/>
      <c r="B326" s="207" t="s">
        <v>242</v>
      </c>
      <c r="C326" s="38" t="s">
        <v>2287</v>
      </c>
      <c r="D326" s="210"/>
      <c r="E326" s="187"/>
      <c r="F326" s="122"/>
      <c r="G326" s="209"/>
    </row>
    <row r="327" spans="1:7" x14ac:dyDescent="0.25">
      <c r="A327" s="404"/>
      <c r="B327" s="432"/>
      <c r="C327" s="433"/>
      <c r="D327" s="432"/>
      <c r="E327" s="285"/>
      <c r="F327" s="431"/>
      <c r="G327" s="496"/>
    </row>
    <row r="328" spans="1:7" x14ac:dyDescent="0.25">
      <c r="A328" s="214" t="s">
        <v>1733</v>
      </c>
      <c r="B328" s="210"/>
      <c r="C328" s="119" t="s">
        <v>2285</v>
      </c>
      <c r="D328" s="210" t="s">
        <v>8</v>
      </c>
      <c r="E328" s="187">
        <v>5</v>
      </c>
      <c r="F328" s="122"/>
      <c r="G328" s="209"/>
    </row>
    <row r="329" spans="1:7" x14ac:dyDescent="0.25">
      <c r="A329" s="404"/>
      <c r="B329" s="432"/>
      <c r="C329" s="433"/>
      <c r="D329" s="432"/>
      <c r="E329" s="285"/>
      <c r="F329" s="431"/>
      <c r="G329" s="496"/>
    </row>
    <row r="330" spans="1:7" x14ac:dyDescent="0.25">
      <c r="A330" s="214" t="s">
        <v>1734</v>
      </c>
      <c r="B330" s="210"/>
      <c r="C330" s="119" t="s">
        <v>2286</v>
      </c>
      <c r="D330" s="210" t="s">
        <v>8</v>
      </c>
      <c r="E330" s="187">
        <v>3</v>
      </c>
      <c r="F330" s="122"/>
      <c r="G330" s="209"/>
    </row>
    <row r="331" spans="1:7" x14ac:dyDescent="0.25">
      <c r="A331" s="404"/>
      <c r="B331" s="432"/>
      <c r="C331" s="433"/>
      <c r="D331" s="432"/>
      <c r="E331" s="285"/>
      <c r="F331" s="431"/>
      <c r="G331" s="496"/>
    </row>
    <row r="332" spans="1:7" ht="24" x14ac:dyDescent="0.25">
      <c r="A332" s="214" t="s">
        <v>1878</v>
      </c>
      <c r="B332" s="210" t="s">
        <v>242</v>
      </c>
      <c r="C332" s="119" t="s">
        <v>365</v>
      </c>
      <c r="D332" s="210" t="s">
        <v>8</v>
      </c>
      <c r="E332" s="187">
        <v>5</v>
      </c>
      <c r="F332" s="122"/>
      <c r="G332" s="209"/>
    </row>
    <row r="333" spans="1:7" x14ac:dyDescent="0.25">
      <c r="A333" s="404"/>
      <c r="B333" s="432"/>
      <c r="C333" s="433"/>
      <c r="D333" s="432"/>
      <c r="E333" s="285"/>
      <c r="F333" s="431"/>
      <c r="G333" s="496"/>
    </row>
    <row r="334" spans="1:7" ht="24" x14ac:dyDescent="0.25">
      <c r="A334" s="227" t="s">
        <v>1735</v>
      </c>
      <c r="B334" s="207" t="s">
        <v>627</v>
      </c>
      <c r="C334" s="38" t="s">
        <v>308</v>
      </c>
      <c r="D334" s="210"/>
      <c r="E334" s="219"/>
      <c r="F334" s="123"/>
      <c r="G334" s="209"/>
    </row>
    <row r="335" spans="1:7" x14ac:dyDescent="0.25">
      <c r="A335" s="404"/>
      <c r="B335" s="432"/>
      <c r="C335" s="433"/>
      <c r="D335" s="432"/>
      <c r="E335" s="285"/>
      <c r="F335" s="431"/>
      <c r="G335" s="496"/>
    </row>
    <row r="336" spans="1:7" ht="24" x14ac:dyDescent="0.25">
      <c r="A336" s="108"/>
      <c r="B336" s="153" t="s">
        <v>629</v>
      </c>
      <c r="C336" s="469" t="s">
        <v>2216</v>
      </c>
      <c r="D336" s="52"/>
      <c r="E336" s="187"/>
      <c r="F336" s="123"/>
      <c r="G336" s="499"/>
    </row>
    <row r="337" spans="1:7" x14ac:dyDescent="0.25">
      <c r="A337" s="404"/>
      <c r="B337" s="432"/>
      <c r="C337" s="433"/>
      <c r="D337" s="432"/>
      <c r="E337" s="285"/>
      <c r="F337" s="431"/>
      <c r="G337" s="496"/>
    </row>
    <row r="338" spans="1:7" ht="96" x14ac:dyDescent="0.25">
      <c r="A338" s="109"/>
      <c r="B338" s="51"/>
      <c r="C338" s="67" t="s">
        <v>2288</v>
      </c>
      <c r="D338" s="52"/>
      <c r="E338" s="186"/>
      <c r="F338" s="124"/>
      <c r="G338" s="497"/>
    </row>
    <row r="339" spans="1:7" x14ac:dyDescent="0.25">
      <c r="A339" s="404"/>
      <c r="B339" s="432"/>
      <c r="C339" s="433"/>
      <c r="D339" s="432"/>
      <c r="E339" s="285"/>
      <c r="F339" s="431"/>
      <c r="G339" s="496"/>
    </row>
    <row r="340" spans="1:7" x14ac:dyDescent="0.25">
      <c r="A340" s="109" t="s">
        <v>1736</v>
      </c>
      <c r="B340" s="52"/>
      <c r="C340" s="50" t="s">
        <v>307</v>
      </c>
      <c r="D340" s="51" t="s">
        <v>6</v>
      </c>
      <c r="E340" s="186">
        <v>15</v>
      </c>
      <c r="F340" s="124"/>
      <c r="G340" s="209"/>
    </row>
    <row r="341" spans="1:7" x14ac:dyDescent="0.25">
      <c r="A341" s="404"/>
      <c r="B341" s="432"/>
      <c r="C341" s="433"/>
      <c r="D341" s="432"/>
      <c r="E341" s="285"/>
      <c r="F341" s="431"/>
      <c r="G341" s="496"/>
    </row>
    <row r="342" spans="1:7" x14ac:dyDescent="0.25">
      <c r="A342" s="109" t="s">
        <v>1737</v>
      </c>
      <c r="B342" s="52"/>
      <c r="C342" s="50" t="s">
        <v>306</v>
      </c>
      <c r="D342" s="51" t="s">
        <v>6</v>
      </c>
      <c r="E342" s="186">
        <v>45</v>
      </c>
      <c r="F342" s="124"/>
      <c r="G342" s="209"/>
    </row>
    <row r="343" spans="1:7" x14ac:dyDescent="0.25">
      <c r="A343" s="404"/>
      <c r="B343" s="432"/>
      <c r="C343" s="433"/>
      <c r="D343" s="432"/>
      <c r="E343" s="285"/>
      <c r="F343" s="431"/>
      <c r="G343" s="496"/>
    </row>
    <row r="344" spans="1:7" x14ac:dyDescent="0.25">
      <c r="A344" s="109" t="s">
        <v>1879</v>
      </c>
      <c r="B344" s="52"/>
      <c r="C344" s="50" t="s">
        <v>305</v>
      </c>
      <c r="D344" s="51" t="s">
        <v>6</v>
      </c>
      <c r="E344" s="186">
        <v>30</v>
      </c>
      <c r="F344" s="124"/>
      <c r="G344" s="209"/>
    </row>
    <row r="345" spans="1:7" x14ac:dyDescent="0.25">
      <c r="A345" s="404"/>
      <c r="B345" s="432"/>
      <c r="C345" s="433"/>
      <c r="D345" s="432"/>
      <c r="E345" s="285"/>
      <c r="F345" s="431"/>
      <c r="G345" s="496"/>
    </row>
    <row r="346" spans="1:7" x14ac:dyDescent="0.25">
      <c r="A346" s="109"/>
      <c r="B346" s="138"/>
      <c r="C346" s="60" t="s">
        <v>2289</v>
      </c>
      <c r="D346" s="52"/>
      <c r="E346" s="186"/>
      <c r="F346" s="124"/>
      <c r="G346" s="497"/>
    </row>
    <row r="347" spans="1:7" ht="11.1" customHeight="1" x14ac:dyDescent="0.25">
      <c r="A347" s="404"/>
      <c r="B347" s="432"/>
      <c r="C347" s="433"/>
      <c r="D347" s="432"/>
      <c r="E347" s="285"/>
      <c r="F347" s="431"/>
      <c r="G347" s="496"/>
    </row>
    <row r="348" spans="1:7" ht="13.5" x14ac:dyDescent="0.25">
      <c r="A348" s="109" t="s">
        <v>1880</v>
      </c>
      <c r="B348" s="52"/>
      <c r="C348" s="50" t="s">
        <v>304</v>
      </c>
      <c r="D348" s="214" t="s">
        <v>88</v>
      </c>
      <c r="E348" s="186">
        <v>80</v>
      </c>
      <c r="F348" s="124"/>
      <c r="G348" s="209"/>
    </row>
    <row r="349" spans="1:7" ht="11.1" customHeight="1" x14ac:dyDescent="0.25">
      <c r="A349" s="404"/>
      <c r="B349" s="432"/>
      <c r="C349" s="433"/>
      <c r="D349" s="432"/>
      <c r="E349" s="285"/>
      <c r="F349" s="431"/>
      <c r="G349" s="496"/>
    </row>
    <row r="350" spans="1:7" ht="13.5" x14ac:dyDescent="0.25">
      <c r="A350" s="109" t="s">
        <v>1881</v>
      </c>
      <c r="B350" s="52"/>
      <c r="C350" s="50" t="s">
        <v>290</v>
      </c>
      <c r="D350" s="214" t="s">
        <v>88</v>
      </c>
      <c r="E350" s="186">
        <v>20</v>
      </c>
      <c r="F350" s="124"/>
      <c r="G350" s="209"/>
    </row>
    <row r="351" spans="1:7" ht="11.1" customHeight="1" x14ac:dyDescent="0.25">
      <c r="A351" s="404"/>
      <c r="B351" s="432"/>
      <c r="C351" s="433"/>
      <c r="D351" s="432"/>
      <c r="E351" s="285"/>
      <c r="F351" s="431"/>
      <c r="G351" s="496"/>
    </row>
    <row r="352" spans="1:7" ht="13.5" x14ac:dyDescent="0.25">
      <c r="A352" s="109" t="s">
        <v>1882</v>
      </c>
      <c r="B352" s="52"/>
      <c r="C352" s="50" t="s">
        <v>303</v>
      </c>
      <c r="D352" s="214" t="s">
        <v>88</v>
      </c>
      <c r="E352" s="186">
        <v>5</v>
      </c>
      <c r="F352" s="124"/>
      <c r="G352" s="209"/>
    </row>
    <row r="353" spans="1:7" ht="11.1" customHeight="1" x14ac:dyDescent="0.25">
      <c r="A353" s="434"/>
      <c r="B353" s="432"/>
      <c r="C353" s="436"/>
      <c r="D353" s="251"/>
      <c r="E353" s="466"/>
      <c r="F353" s="470"/>
      <c r="G353" s="437"/>
    </row>
    <row r="354" spans="1:7" ht="28.5" customHeight="1" x14ac:dyDescent="0.25">
      <c r="A354" s="526" t="s">
        <v>609</v>
      </c>
      <c r="B354" s="526"/>
      <c r="C354" s="526"/>
      <c r="D354" s="526"/>
      <c r="E354" s="526"/>
      <c r="F354" s="526"/>
      <c r="G354" s="330"/>
    </row>
    <row r="355" spans="1:7" ht="28.5" customHeight="1" x14ac:dyDescent="0.25">
      <c r="A355" s="526" t="s">
        <v>610</v>
      </c>
      <c r="B355" s="526"/>
      <c r="C355" s="526"/>
      <c r="D355" s="526"/>
      <c r="E355" s="526"/>
      <c r="F355" s="526"/>
      <c r="G355" s="330"/>
    </row>
    <row r="356" spans="1:7" x14ac:dyDescent="0.25">
      <c r="A356" s="404"/>
      <c r="B356" s="432"/>
      <c r="C356" s="433"/>
      <c r="D356" s="432"/>
      <c r="E356" s="285"/>
      <c r="F356" s="431"/>
      <c r="G356" s="496"/>
    </row>
    <row r="357" spans="1:7" ht="24" x14ac:dyDescent="0.25">
      <c r="A357" s="109" t="s">
        <v>1884</v>
      </c>
      <c r="B357" s="51"/>
      <c r="C357" s="50" t="s">
        <v>302</v>
      </c>
      <c r="D357" s="214" t="s">
        <v>88</v>
      </c>
      <c r="E357" s="186">
        <v>80</v>
      </c>
      <c r="F357" s="124"/>
      <c r="G357" s="209"/>
    </row>
    <row r="358" spans="1:7" x14ac:dyDescent="0.25">
      <c r="A358" s="404"/>
      <c r="B358" s="432"/>
      <c r="C358" s="433"/>
      <c r="D358" s="432"/>
      <c r="E358" s="285"/>
      <c r="F358" s="431"/>
      <c r="G358" s="496"/>
    </row>
    <row r="359" spans="1:7" x14ac:dyDescent="0.25">
      <c r="A359" s="109"/>
      <c r="B359" s="138" t="s">
        <v>18</v>
      </c>
      <c r="C359" s="60" t="s">
        <v>171</v>
      </c>
      <c r="D359" s="52"/>
      <c r="E359" s="186"/>
      <c r="F359" s="124"/>
      <c r="G359" s="497"/>
    </row>
    <row r="360" spans="1:7" x14ac:dyDescent="0.25">
      <c r="A360" s="404"/>
      <c r="B360" s="432"/>
      <c r="C360" s="433"/>
      <c r="D360" s="432"/>
      <c r="E360" s="285"/>
      <c r="F360" s="431"/>
      <c r="G360" s="496"/>
    </row>
    <row r="361" spans="1:7" x14ac:dyDescent="0.25">
      <c r="A361" s="109"/>
      <c r="B361" s="66" t="s">
        <v>156</v>
      </c>
      <c r="C361" s="67" t="s">
        <v>19</v>
      </c>
      <c r="D361" s="52"/>
      <c r="E361" s="186"/>
      <c r="F361" s="124"/>
      <c r="G361" s="497"/>
    </row>
    <row r="362" spans="1:7" x14ac:dyDescent="0.25">
      <c r="A362" s="404"/>
      <c r="B362" s="432"/>
      <c r="C362" s="433"/>
      <c r="D362" s="432"/>
      <c r="E362" s="285"/>
      <c r="F362" s="431"/>
      <c r="G362" s="496"/>
    </row>
    <row r="363" spans="1:7" ht="36" x14ac:dyDescent="0.25">
      <c r="A363" s="109" t="s">
        <v>1883</v>
      </c>
      <c r="B363" s="52"/>
      <c r="C363" s="50" t="s">
        <v>301</v>
      </c>
      <c r="D363" s="214" t="s">
        <v>88</v>
      </c>
      <c r="E363" s="186">
        <v>35</v>
      </c>
      <c r="F363" s="124"/>
      <c r="G363" s="209"/>
    </row>
    <row r="364" spans="1:7" x14ac:dyDescent="0.25">
      <c r="A364" s="404"/>
      <c r="B364" s="432"/>
      <c r="C364" s="433"/>
      <c r="D364" s="432"/>
      <c r="E364" s="285"/>
      <c r="F364" s="431"/>
      <c r="G364" s="496"/>
    </row>
    <row r="365" spans="1:7" x14ac:dyDescent="0.25">
      <c r="A365" s="109"/>
      <c r="B365" s="207" t="s">
        <v>16</v>
      </c>
      <c r="C365" s="38" t="s">
        <v>17</v>
      </c>
      <c r="D365" s="207"/>
      <c r="E365" s="208"/>
      <c r="F365" s="124"/>
      <c r="G365" s="476"/>
    </row>
    <row r="366" spans="1:7" x14ac:dyDescent="0.25">
      <c r="A366" s="404"/>
      <c r="B366" s="432"/>
      <c r="C366" s="433"/>
      <c r="D366" s="432"/>
      <c r="E366" s="285"/>
      <c r="F366" s="431"/>
      <c r="G366" s="496"/>
    </row>
    <row r="367" spans="1:7" ht="24" x14ac:dyDescent="0.25">
      <c r="A367" s="109" t="s">
        <v>1885</v>
      </c>
      <c r="B367" s="210"/>
      <c r="C367" s="119" t="s">
        <v>2291</v>
      </c>
      <c r="D367" s="142" t="s">
        <v>6</v>
      </c>
      <c r="E367" s="219">
        <v>10</v>
      </c>
      <c r="F367" s="124"/>
      <c r="G367" s="209"/>
    </row>
    <row r="368" spans="1:7" x14ac:dyDescent="0.25">
      <c r="A368" s="404"/>
      <c r="B368" s="432"/>
      <c r="C368" s="433"/>
      <c r="D368" s="432"/>
      <c r="E368" s="285"/>
      <c r="F368" s="431"/>
      <c r="G368" s="496"/>
    </row>
    <row r="369" spans="1:7" x14ac:dyDescent="0.25">
      <c r="A369" s="109"/>
      <c r="B369" s="207" t="s">
        <v>10</v>
      </c>
      <c r="C369" s="38" t="s">
        <v>215</v>
      </c>
      <c r="D369" s="142"/>
      <c r="E369" s="211"/>
      <c r="F369" s="124"/>
      <c r="G369" s="476"/>
    </row>
    <row r="370" spans="1:7" x14ac:dyDescent="0.25">
      <c r="A370" s="404"/>
      <c r="B370" s="432"/>
      <c r="C370" s="433"/>
      <c r="D370" s="432"/>
      <c r="E370" s="285"/>
      <c r="F370" s="431"/>
      <c r="G370" s="496"/>
    </row>
    <row r="371" spans="1:7" x14ac:dyDescent="0.25">
      <c r="A371" s="109"/>
      <c r="B371" s="221" t="s">
        <v>159</v>
      </c>
      <c r="C371" s="212" t="s">
        <v>160</v>
      </c>
      <c r="D371" s="142"/>
      <c r="E371" s="211"/>
      <c r="F371" s="124"/>
      <c r="G371" s="476"/>
    </row>
    <row r="372" spans="1:7" x14ac:dyDescent="0.25">
      <c r="A372" s="404"/>
      <c r="B372" s="432"/>
      <c r="C372" s="433"/>
      <c r="D372" s="432"/>
      <c r="E372" s="285"/>
      <c r="F372" s="431"/>
      <c r="G372" s="496"/>
    </row>
    <row r="373" spans="1:7" ht="24" x14ac:dyDescent="0.25">
      <c r="A373" s="109" t="s">
        <v>1886</v>
      </c>
      <c r="B373" s="210"/>
      <c r="C373" s="119" t="s">
        <v>363</v>
      </c>
      <c r="D373" s="142" t="s">
        <v>8</v>
      </c>
      <c r="E373" s="187">
        <v>3</v>
      </c>
      <c r="F373" s="124"/>
      <c r="G373" s="209"/>
    </row>
    <row r="374" spans="1:7" x14ac:dyDescent="0.25">
      <c r="A374" s="404"/>
      <c r="B374" s="432"/>
      <c r="C374" s="433"/>
      <c r="D374" s="432"/>
      <c r="E374" s="285"/>
      <c r="F374" s="431"/>
      <c r="G374" s="496"/>
    </row>
    <row r="375" spans="1:7" ht="24" x14ac:dyDescent="0.25">
      <c r="A375" s="109" t="s">
        <v>1887</v>
      </c>
      <c r="B375" s="210"/>
      <c r="C375" s="119" t="s">
        <v>364</v>
      </c>
      <c r="D375" s="142" t="s">
        <v>8</v>
      </c>
      <c r="E375" s="187">
        <v>2</v>
      </c>
      <c r="F375" s="124"/>
      <c r="G375" s="209"/>
    </row>
    <row r="376" spans="1:7" x14ac:dyDescent="0.25">
      <c r="A376" s="404"/>
      <c r="B376" s="432"/>
      <c r="C376" s="433"/>
      <c r="D376" s="432"/>
      <c r="E376" s="285"/>
      <c r="F376" s="431"/>
      <c r="G376" s="496"/>
    </row>
    <row r="377" spans="1:7" x14ac:dyDescent="0.25">
      <c r="A377" s="109"/>
      <c r="B377" s="221" t="s">
        <v>162</v>
      </c>
      <c r="C377" s="212" t="s">
        <v>167</v>
      </c>
      <c r="D377" s="142"/>
      <c r="E377" s="211"/>
      <c r="F377" s="124"/>
      <c r="G377" s="476"/>
    </row>
    <row r="378" spans="1:7" x14ac:dyDescent="0.25">
      <c r="A378" s="404"/>
      <c r="B378" s="432"/>
      <c r="C378" s="433"/>
      <c r="D378" s="432"/>
      <c r="E378" s="285"/>
      <c r="F378" s="431"/>
      <c r="G378" s="496"/>
    </row>
    <row r="379" spans="1:7" ht="24" x14ac:dyDescent="0.25">
      <c r="A379" s="109" t="s">
        <v>1888</v>
      </c>
      <c r="B379" s="210"/>
      <c r="C379" s="119" t="s">
        <v>363</v>
      </c>
      <c r="D379" s="142" t="s">
        <v>6</v>
      </c>
      <c r="E379" s="187">
        <v>30</v>
      </c>
      <c r="F379" s="124"/>
      <c r="G379" s="209"/>
    </row>
    <row r="380" spans="1:7" x14ac:dyDescent="0.25">
      <c r="A380" s="404"/>
      <c r="B380" s="432"/>
      <c r="C380" s="433"/>
      <c r="D380" s="432"/>
      <c r="E380" s="285"/>
      <c r="F380" s="431"/>
      <c r="G380" s="496"/>
    </row>
    <row r="381" spans="1:7" ht="24" x14ac:dyDescent="0.25">
      <c r="A381" s="340" t="s">
        <v>1738</v>
      </c>
      <c r="B381" s="138" t="s">
        <v>362</v>
      </c>
      <c r="C381" s="60" t="s">
        <v>361</v>
      </c>
      <c r="D381" s="51"/>
      <c r="E381" s="186"/>
      <c r="F381" s="124"/>
      <c r="G381" s="476"/>
    </row>
    <row r="382" spans="1:7" x14ac:dyDescent="0.25">
      <c r="A382" s="404"/>
      <c r="B382" s="432"/>
      <c r="C382" s="433"/>
      <c r="D382" s="432"/>
      <c r="E382" s="285"/>
      <c r="F382" s="431"/>
      <c r="G382" s="496"/>
    </row>
    <row r="383" spans="1:7" x14ac:dyDescent="0.25">
      <c r="A383" s="109"/>
      <c r="B383" s="138" t="s">
        <v>360</v>
      </c>
      <c r="C383" s="60" t="s">
        <v>359</v>
      </c>
      <c r="D383" s="51"/>
      <c r="E383" s="186"/>
      <c r="F383" s="125"/>
      <c r="G383" s="494"/>
    </row>
    <row r="384" spans="1:7" x14ac:dyDescent="0.25">
      <c r="A384" s="404"/>
      <c r="B384" s="432"/>
      <c r="C384" s="433"/>
      <c r="D384" s="432"/>
      <c r="E384" s="285"/>
      <c r="F384" s="431"/>
      <c r="G384" s="496"/>
    </row>
    <row r="385" spans="1:8" ht="13.5" x14ac:dyDescent="0.25">
      <c r="A385" s="109" t="s">
        <v>1889</v>
      </c>
      <c r="B385" s="51"/>
      <c r="C385" s="50" t="s">
        <v>358</v>
      </c>
      <c r="D385" s="214" t="s">
        <v>88</v>
      </c>
      <c r="E385" s="186">
        <v>6</v>
      </c>
      <c r="F385" s="125"/>
      <c r="G385" s="209"/>
    </row>
    <row r="386" spans="1:8" ht="11.1" customHeight="1" x14ac:dyDescent="0.25">
      <c r="A386" s="404"/>
      <c r="B386" s="432"/>
      <c r="C386" s="433"/>
      <c r="D386" s="432"/>
      <c r="E386" s="285"/>
      <c r="F386" s="431"/>
      <c r="G386" s="496"/>
    </row>
    <row r="387" spans="1:8" x14ac:dyDescent="0.25">
      <c r="A387" s="109" t="s">
        <v>1890</v>
      </c>
      <c r="B387" s="138" t="s">
        <v>357</v>
      </c>
      <c r="C387" s="60" t="s">
        <v>356</v>
      </c>
      <c r="D387" s="51"/>
      <c r="E387" s="186"/>
      <c r="F387" s="125"/>
      <c r="G387" s="494"/>
    </row>
    <row r="388" spans="1:8" ht="11.1" customHeight="1" x14ac:dyDescent="0.25">
      <c r="A388" s="404"/>
      <c r="B388" s="432"/>
      <c r="C388" s="433"/>
      <c r="D388" s="432"/>
      <c r="E388" s="285"/>
      <c r="F388" s="431"/>
      <c r="G388" s="496"/>
    </row>
    <row r="389" spans="1:8" ht="24" x14ac:dyDescent="0.25">
      <c r="A389" s="109" t="s">
        <v>1891</v>
      </c>
      <c r="B389" s="51"/>
      <c r="C389" s="50" t="s">
        <v>355</v>
      </c>
      <c r="D389" s="142" t="s">
        <v>87</v>
      </c>
      <c r="E389" s="186">
        <v>200</v>
      </c>
      <c r="F389" s="125"/>
      <c r="G389" s="209"/>
    </row>
    <row r="390" spans="1:8" ht="11.1" customHeight="1" x14ac:dyDescent="0.25">
      <c r="A390" s="404"/>
      <c r="B390" s="432"/>
      <c r="C390" s="433"/>
      <c r="D390" s="432"/>
      <c r="E390" s="285"/>
      <c r="F390" s="431"/>
      <c r="G390" s="496"/>
    </row>
    <row r="391" spans="1:8" ht="36" x14ac:dyDescent="0.25">
      <c r="A391" s="109" t="s">
        <v>1892</v>
      </c>
      <c r="B391" s="51" t="s">
        <v>2213</v>
      </c>
      <c r="C391" s="50" t="s">
        <v>354</v>
      </c>
      <c r="D391" s="142" t="s">
        <v>87</v>
      </c>
      <c r="E391" s="186">
        <v>200</v>
      </c>
      <c r="F391" s="125"/>
      <c r="G391" s="209"/>
    </row>
    <row r="392" spans="1:8" ht="11.1" customHeight="1" x14ac:dyDescent="0.25">
      <c r="A392" s="404"/>
      <c r="B392" s="432"/>
      <c r="C392" s="433"/>
      <c r="D392" s="432"/>
      <c r="E392" s="285"/>
      <c r="F392" s="431"/>
      <c r="G392" s="496"/>
    </row>
    <row r="393" spans="1:8" x14ac:dyDescent="0.25">
      <c r="A393" s="109"/>
      <c r="B393" s="138" t="s">
        <v>353</v>
      </c>
      <c r="C393" s="60" t="s">
        <v>352</v>
      </c>
      <c r="D393" s="51"/>
      <c r="E393" s="186"/>
      <c r="F393" s="125"/>
      <c r="G393" s="494"/>
    </row>
    <row r="394" spans="1:8" ht="11.1" customHeight="1" x14ac:dyDescent="0.25">
      <c r="A394" s="404"/>
      <c r="B394" s="432"/>
      <c r="C394" s="433"/>
      <c r="D394" s="432"/>
      <c r="E394" s="285"/>
      <c r="F394" s="431"/>
      <c r="G394" s="496"/>
    </row>
    <row r="395" spans="1:8" ht="37.5" customHeight="1" x14ac:dyDescent="0.25">
      <c r="A395" s="109" t="s">
        <v>1893</v>
      </c>
      <c r="B395" s="51"/>
      <c r="C395" s="50" t="s">
        <v>351</v>
      </c>
      <c r="D395" s="214" t="s">
        <v>88</v>
      </c>
      <c r="E395" s="186">
        <v>2</v>
      </c>
      <c r="F395" s="125"/>
      <c r="G395" s="209"/>
    </row>
    <row r="396" spans="1:8" ht="11.1" customHeight="1" x14ac:dyDescent="0.25">
      <c r="A396" s="404"/>
      <c r="B396" s="432"/>
      <c r="C396" s="433"/>
      <c r="D396" s="432"/>
      <c r="E396" s="285"/>
      <c r="F396" s="431"/>
      <c r="G396" s="496"/>
    </row>
    <row r="397" spans="1:8" s="21" customFormat="1" ht="28.5" customHeight="1" x14ac:dyDescent="0.25">
      <c r="A397" s="526" t="s">
        <v>609</v>
      </c>
      <c r="B397" s="526"/>
      <c r="C397" s="526"/>
      <c r="D397" s="526"/>
      <c r="E397" s="526"/>
      <c r="F397" s="526"/>
      <c r="G397" s="330"/>
      <c r="H397" s="182"/>
    </row>
    <row r="398" spans="1:8" s="21" customFormat="1" ht="28.5" customHeight="1" x14ac:dyDescent="0.25">
      <c r="A398" s="526" t="s">
        <v>610</v>
      </c>
      <c r="B398" s="526"/>
      <c r="C398" s="526"/>
      <c r="D398" s="526"/>
      <c r="E398" s="526"/>
      <c r="F398" s="526"/>
      <c r="G398" s="330"/>
      <c r="H398" s="182"/>
    </row>
    <row r="399" spans="1:8" x14ac:dyDescent="0.25">
      <c r="A399" s="404"/>
      <c r="B399" s="432"/>
      <c r="C399" s="433"/>
      <c r="D399" s="432"/>
      <c r="E399" s="285"/>
      <c r="F399" s="431"/>
      <c r="G399" s="496"/>
    </row>
    <row r="400" spans="1:8" ht="37.5" customHeight="1" x14ac:dyDescent="0.25">
      <c r="A400" s="108" t="s">
        <v>1894</v>
      </c>
      <c r="B400" s="52"/>
      <c r="C400" s="50" t="s">
        <v>350</v>
      </c>
      <c r="D400" s="214" t="s">
        <v>88</v>
      </c>
      <c r="E400" s="186">
        <v>2</v>
      </c>
      <c r="F400" s="125"/>
      <c r="G400" s="209"/>
    </row>
    <row r="401" spans="1:7" x14ac:dyDescent="0.25">
      <c r="A401" s="404"/>
      <c r="B401" s="432"/>
      <c r="C401" s="433"/>
      <c r="D401" s="432"/>
      <c r="E401" s="285"/>
      <c r="F401" s="431"/>
      <c r="G401" s="496"/>
    </row>
    <row r="402" spans="1:7" ht="24" x14ac:dyDescent="0.25">
      <c r="A402" s="340" t="s">
        <v>1739</v>
      </c>
      <c r="B402" s="138" t="s">
        <v>272</v>
      </c>
      <c r="C402" s="60" t="s">
        <v>271</v>
      </c>
      <c r="D402" s="207"/>
      <c r="E402" s="208"/>
      <c r="F402" s="125"/>
      <c r="G402" s="494"/>
    </row>
    <row r="403" spans="1:7" x14ac:dyDescent="0.25">
      <c r="A403" s="404"/>
      <c r="B403" s="432"/>
      <c r="C403" s="433"/>
      <c r="D403" s="432"/>
      <c r="E403" s="285"/>
      <c r="F403" s="431"/>
      <c r="G403" s="496"/>
    </row>
    <row r="404" spans="1:7" ht="36" x14ac:dyDescent="0.25">
      <c r="A404" s="109"/>
      <c r="B404" s="138" t="s">
        <v>168</v>
      </c>
      <c r="C404" s="60" t="s">
        <v>300</v>
      </c>
      <c r="D404" s="51"/>
      <c r="E404" s="186"/>
      <c r="F404" s="125"/>
      <c r="G404" s="494"/>
    </row>
    <row r="405" spans="1:7" x14ac:dyDescent="0.25">
      <c r="A405" s="404"/>
      <c r="B405" s="432"/>
      <c r="C405" s="433"/>
      <c r="D405" s="432"/>
      <c r="E405" s="285"/>
      <c r="F405" s="431"/>
      <c r="G405" s="496"/>
    </row>
    <row r="406" spans="1:7" ht="13.5" x14ac:dyDescent="0.25">
      <c r="A406" s="109" t="s">
        <v>1740</v>
      </c>
      <c r="B406" s="51"/>
      <c r="C406" s="50" t="s">
        <v>268</v>
      </c>
      <c r="D406" s="214" t="s">
        <v>88</v>
      </c>
      <c r="E406" s="186">
        <v>5</v>
      </c>
      <c r="F406" s="125"/>
      <c r="G406" s="209"/>
    </row>
    <row r="407" spans="1:7" x14ac:dyDescent="0.25">
      <c r="A407" s="404"/>
      <c r="B407" s="432"/>
      <c r="C407" s="433"/>
      <c r="D407" s="432"/>
      <c r="E407" s="285"/>
      <c r="F407" s="431"/>
      <c r="G407" s="496"/>
    </row>
    <row r="408" spans="1:7" ht="48" x14ac:dyDescent="0.25">
      <c r="A408" s="109"/>
      <c r="B408" s="138" t="s">
        <v>169</v>
      </c>
      <c r="C408" s="60" t="s">
        <v>270</v>
      </c>
      <c r="D408" s="51"/>
      <c r="E408" s="186"/>
      <c r="F408" s="125"/>
      <c r="G408" s="494"/>
    </row>
    <row r="409" spans="1:7" x14ac:dyDescent="0.25">
      <c r="A409" s="404"/>
      <c r="B409" s="432"/>
      <c r="C409" s="433"/>
      <c r="D409" s="432"/>
      <c r="E409" s="285"/>
      <c r="F409" s="431"/>
      <c r="G409" s="496"/>
    </row>
    <row r="410" spans="1:7" ht="24" x14ac:dyDescent="0.25">
      <c r="A410" s="109"/>
      <c r="B410" s="66" t="s">
        <v>170</v>
      </c>
      <c r="C410" s="67" t="s">
        <v>269</v>
      </c>
      <c r="D410" s="51"/>
      <c r="E410" s="186"/>
      <c r="F410" s="124"/>
      <c r="G410" s="476"/>
    </row>
    <row r="411" spans="1:7" x14ac:dyDescent="0.25">
      <c r="A411" s="404"/>
      <c r="B411" s="432"/>
      <c r="C411" s="433"/>
      <c r="D411" s="432"/>
      <c r="E411" s="285"/>
      <c r="F411" s="431"/>
      <c r="G411" s="496"/>
    </row>
    <row r="412" spans="1:7" ht="13.5" x14ac:dyDescent="0.25">
      <c r="A412" s="109" t="s">
        <v>1741</v>
      </c>
      <c r="B412" s="51"/>
      <c r="C412" s="50" t="s">
        <v>246</v>
      </c>
      <c r="D412" s="214" t="s">
        <v>88</v>
      </c>
      <c r="E412" s="186">
        <v>50</v>
      </c>
      <c r="F412" s="124"/>
      <c r="G412" s="209"/>
    </row>
    <row r="413" spans="1:7" x14ac:dyDescent="0.25">
      <c r="A413" s="404"/>
      <c r="B413" s="432"/>
      <c r="C413" s="433"/>
      <c r="D413" s="432"/>
      <c r="E413" s="285"/>
      <c r="F413" s="431"/>
      <c r="G413" s="496"/>
    </row>
    <row r="414" spans="1:7" ht="13.5" x14ac:dyDescent="0.25">
      <c r="A414" s="109" t="s">
        <v>1895</v>
      </c>
      <c r="B414" s="51"/>
      <c r="C414" s="50" t="s">
        <v>268</v>
      </c>
      <c r="D414" s="214" t="s">
        <v>88</v>
      </c>
      <c r="E414" s="186">
        <v>35</v>
      </c>
      <c r="F414" s="124"/>
      <c r="G414" s="209"/>
    </row>
    <row r="415" spans="1:7" x14ac:dyDescent="0.25">
      <c r="A415" s="404"/>
      <c r="B415" s="432"/>
      <c r="C415" s="433"/>
      <c r="D415" s="432"/>
      <c r="E415" s="285"/>
      <c r="F415" s="431"/>
      <c r="G415" s="496"/>
    </row>
    <row r="416" spans="1:7" ht="24" x14ac:dyDescent="0.25">
      <c r="A416" s="109"/>
      <c r="B416" s="138" t="s">
        <v>267</v>
      </c>
      <c r="C416" s="60" t="s">
        <v>266</v>
      </c>
      <c r="D416" s="51"/>
      <c r="E416" s="186"/>
      <c r="F416" s="125"/>
      <c r="G416" s="494"/>
    </row>
    <row r="417" spans="1:7" x14ac:dyDescent="0.25">
      <c r="A417" s="404"/>
      <c r="B417" s="432"/>
      <c r="C417" s="433"/>
      <c r="D417" s="432"/>
      <c r="E417" s="285"/>
      <c r="F417" s="431"/>
      <c r="G417" s="496"/>
    </row>
    <row r="418" spans="1:7" ht="24" x14ac:dyDescent="0.25">
      <c r="A418" s="109" t="s">
        <v>1896</v>
      </c>
      <c r="B418" s="51"/>
      <c r="C418" s="50" t="s">
        <v>265</v>
      </c>
      <c r="D418" s="214" t="s">
        <v>88</v>
      </c>
      <c r="E418" s="186">
        <v>5</v>
      </c>
      <c r="F418" s="125"/>
      <c r="G418" s="209"/>
    </row>
    <row r="419" spans="1:7" x14ac:dyDescent="0.25">
      <c r="A419" s="434"/>
      <c r="B419" s="435"/>
      <c r="C419" s="433"/>
      <c r="D419" s="251"/>
      <c r="E419" s="466"/>
      <c r="F419" s="488"/>
      <c r="G419" s="500"/>
    </row>
    <row r="420" spans="1:7" ht="24" x14ac:dyDescent="0.25">
      <c r="A420" s="109" t="s">
        <v>2292</v>
      </c>
      <c r="B420" s="51"/>
      <c r="C420" s="353" t="s">
        <v>2242</v>
      </c>
      <c r="D420" s="142" t="s">
        <v>87</v>
      </c>
      <c r="E420" s="186">
        <v>20</v>
      </c>
      <c r="F420" s="125"/>
      <c r="G420" s="209"/>
    </row>
    <row r="421" spans="1:7" x14ac:dyDescent="0.25">
      <c r="A421" s="404"/>
      <c r="B421" s="432"/>
      <c r="C421" s="433"/>
      <c r="D421" s="432"/>
      <c r="E421" s="285"/>
      <c r="F421" s="431"/>
      <c r="G421" s="496"/>
    </row>
    <row r="422" spans="1:7" ht="24" x14ac:dyDescent="0.25">
      <c r="A422" s="340" t="s">
        <v>1742</v>
      </c>
      <c r="B422" s="138" t="s">
        <v>264</v>
      </c>
      <c r="C422" s="60" t="s">
        <v>245</v>
      </c>
      <c r="D422" s="51"/>
      <c r="E422" s="186"/>
      <c r="F422" s="124"/>
      <c r="G422" s="476"/>
    </row>
    <row r="423" spans="1:7" x14ac:dyDescent="0.25">
      <c r="A423" s="404"/>
      <c r="B423" s="432"/>
      <c r="C423" s="433"/>
      <c r="D423" s="432"/>
      <c r="E423" s="285"/>
      <c r="F423" s="431"/>
      <c r="G423" s="496"/>
    </row>
    <row r="424" spans="1:7" ht="36" x14ac:dyDescent="0.25">
      <c r="A424" s="109"/>
      <c r="B424" s="138" t="s">
        <v>5</v>
      </c>
      <c r="C424" s="60" t="s">
        <v>2293</v>
      </c>
      <c r="D424" s="51"/>
      <c r="E424" s="186"/>
      <c r="F424" s="124"/>
      <c r="G424" s="476"/>
    </row>
    <row r="425" spans="1:7" x14ac:dyDescent="0.25">
      <c r="A425" s="404"/>
      <c r="B425" s="432"/>
      <c r="C425" s="433"/>
      <c r="D425" s="432"/>
      <c r="E425" s="285"/>
      <c r="F425" s="431"/>
      <c r="G425" s="496"/>
    </row>
    <row r="426" spans="1:7" x14ac:dyDescent="0.25">
      <c r="A426" s="109" t="s">
        <v>1743</v>
      </c>
      <c r="B426" s="51"/>
      <c r="C426" s="50" t="s">
        <v>661</v>
      </c>
      <c r="D426" s="51" t="s">
        <v>6</v>
      </c>
      <c r="E426" s="186">
        <v>10</v>
      </c>
      <c r="F426" s="126"/>
      <c r="G426" s="476"/>
    </row>
    <row r="427" spans="1:7" x14ac:dyDescent="0.25">
      <c r="A427" s="404"/>
      <c r="B427" s="432"/>
      <c r="C427" s="433"/>
      <c r="D427" s="432"/>
      <c r="E427" s="285"/>
      <c r="F427" s="431"/>
      <c r="G427" s="496"/>
    </row>
    <row r="428" spans="1:7" x14ac:dyDescent="0.25">
      <c r="A428" s="109" t="s">
        <v>1897</v>
      </c>
      <c r="B428" s="52"/>
      <c r="C428" s="50" t="s">
        <v>660</v>
      </c>
      <c r="D428" s="51" t="s">
        <v>6</v>
      </c>
      <c r="E428" s="186">
        <v>5</v>
      </c>
      <c r="F428" s="126"/>
      <c r="G428" s="476"/>
    </row>
    <row r="429" spans="1:7" x14ac:dyDescent="0.25">
      <c r="A429" s="404"/>
      <c r="B429" s="432"/>
      <c r="C429" s="433"/>
      <c r="D429" s="432"/>
      <c r="E429" s="285"/>
      <c r="F429" s="431"/>
      <c r="G429" s="496"/>
    </row>
    <row r="430" spans="1:7" x14ac:dyDescent="0.25">
      <c r="A430" s="109" t="s">
        <v>1898</v>
      </c>
      <c r="B430" s="52"/>
      <c r="C430" s="50" t="s">
        <v>2294</v>
      </c>
      <c r="D430" s="51" t="s">
        <v>6</v>
      </c>
      <c r="E430" s="186">
        <v>70</v>
      </c>
      <c r="F430" s="126"/>
      <c r="G430" s="476"/>
    </row>
    <row r="431" spans="1:7" x14ac:dyDescent="0.25">
      <c r="A431" s="404"/>
      <c r="B431" s="432"/>
      <c r="C431" s="433"/>
      <c r="D431" s="432"/>
      <c r="E431" s="285"/>
      <c r="F431" s="431"/>
      <c r="G431" s="496"/>
    </row>
    <row r="432" spans="1:7" x14ac:dyDescent="0.25">
      <c r="A432" s="109"/>
      <c r="B432" s="52"/>
      <c r="C432" s="50"/>
      <c r="D432" s="51"/>
      <c r="E432" s="186"/>
      <c r="F432" s="126"/>
      <c r="G432" s="476"/>
    </row>
    <row r="433" spans="1:8" x14ac:dyDescent="0.25">
      <c r="A433" s="404"/>
      <c r="B433" s="432"/>
      <c r="C433" s="433"/>
      <c r="D433" s="432"/>
      <c r="E433" s="285"/>
      <c r="F433" s="431"/>
      <c r="G433" s="496"/>
    </row>
    <row r="434" spans="1:8" x14ac:dyDescent="0.25">
      <c r="A434" s="109"/>
      <c r="B434" s="52"/>
      <c r="C434" s="50"/>
      <c r="D434" s="51"/>
      <c r="E434" s="186"/>
      <c r="F434" s="126"/>
      <c r="G434" s="476"/>
    </row>
    <row r="435" spans="1:8" x14ac:dyDescent="0.25">
      <c r="A435" s="404"/>
      <c r="B435" s="432"/>
      <c r="C435" s="433"/>
      <c r="D435" s="432"/>
      <c r="E435" s="285"/>
      <c r="F435" s="431"/>
      <c r="G435" s="496"/>
    </row>
    <row r="436" spans="1:8" x14ac:dyDescent="0.25">
      <c r="A436" s="109"/>
      <c r="B436" s="52"/>
      <c r="C436" s="50"/>
      <c r="D436" s="51"/>
      <c r="E436" s="186"/>
      <c r="F436" s="126"/>
      <c r="G436" s="476"/>
    </row>
    <row r="437" spans="1:8" s="21" customFormat="1" ht="28.5" customHeight="1" x14ac:dyDescent="0.25">
      <c r="A437" s="526" t="s">
        <v>609</v>
      </c>
      <c r="B437" s="526"/>
      <c r="C437" s="526"/>
      <c r="D437" s="526"/>
      <c r="E437" s="526"/>
      <c r="F437" s="526"/>
      <c r="G437" s="330"/>
      <c r="H437" s="182"/>
    </row>
    <row r="438" spans="1:8" s="21" customFormat="1" ht="28.5" customHeight="1" x14ac:dyDescent="0.25">
      <c r="A438" s="526" t="s">
        <v>610</v>
      </c>
      <c r="B438" s="526"/>
      <c r="C438" s="526"/>
      <c r="D438" s="526"/>
      <c r="E438" s="526"/>
      <c r="F438" s="526"/>
      <c r="G438" s="330"/>
      <c r="H438" s="182"/>
    </row>
    <row r="439" spans="1:8" x14ac:dyDescent="0.25">
      <c r="A439" s="404"/>
      <c r="B439" s="432"/>
      <c r="C439" s="433"/>
      <c r="D439" s="432"/>
      <c r="E439" s="285"/>
      <c r="F439" s="431"/>
      <c r="G439" s="496"/>
    </row>
    <row r="440" spans="1:8" ht="72" x14ac:dyDescent="0.25">
      <c r="A440" s="109"/>
      <c r="B440" s="138" t="s">
        <v>2295</v>
      </c>
      <c r="C440" s="60" t="s">
        <v>736</v>
      </c>
      <c r="D440" s="51"/>
      <c r="E440" s="186"/>
      <c r="F440" s="124"/>
      <c r="G440" s="476"/>
    </row>
    <row r="441" spans="1:8" x14ac:dyDescent="0.25">
      <c r="A441" s="404"/>
      <c r="B441" s="432"/>
      <c r="C441" s="433"/>
      <c r="D441" s="432"/>
      <c r="E441" s="285"/>
      <c r="F441" s="431"/>
      <c r="G441" s="496"/>
    </row>
    <row r="442" spans="1:8" x14ac:dyDescent="0.25">
      <c r="A442" s="109" t="s">
        <v>1899</v>
      </c>
      <c r="B442" s="51"/>
      <c r="C442" s="50" t="s">
        <v>374</v>
      </c>
      <c r="D442" s="51" t="s">
        <v>8</v>
      </c>
      <c r="E442" s="186">
        <v>3</v>
      </c>
      <c r="F442" s="126"/>
      <c r="G442" s="476"/>
    </row>
    <row r="443" spans="1:8" x14ac:dyDescent="0.25">
      <c r="A443" s="404"/>
      <c r="B443" s="432"/>
      <c r="C443" s="433"/>
      <c r="D443" s="432"/>
      <c r="E443" s="285"/>
      <c r="F443" s="431"/>
      <c r="G443" s="496"/>
    </row>
    <row r="444" spans="1:8" x14ac:dyDescent="0.25">
      <c r="A444" s="109" t="s">
        <v>1900</v>
      </c>
      <c r="B444" s="51"/>
      <c r="C444" s="50" t="s">
        <v>297</v>
      </c>
      <c r="D444" s="51" t="s">
        <v>8</v>
      </c>
      <c r="E444" s="186">
        <v>3</v>
      </c>
      <c r="F444" s="126"/>
      <c r="G444" s="476"/>
    </row>
    <row r="445" spans="1:8" x14ac:dyDescent="0.25">
      <c r="A445" s="404"/>
      <c r="B445" s="432"/>
      <c r="C445" s="433"/>
      <c r="D445" s="432"/>
      <c r="E445" s="285"/>
      <c r="F445" s="431"/>
      <c r="G445" s="496"/>
    </row>
    <row r="446" spans="1:8" x14ac:dyDescent="0.25">
      <c r="A446" s="109" t="s">
        <v>1901</v>
      </c>
      <c r="B446" s="51"/>
      <c r="C446" s="50" t="s">
        <v>296</v>
      </c>
      <c r="D446" s="51" t="s">
        <v>8</v>
      </c>
      <c r="E446" s="186">
        <v>2</v>
      </c>
      <c r="F446" s="126"/>
      <c r="G446" s="476"/>
    </row>
    <row r="447" spans="1:8" x14ac:dyDescent="0.25">
      <c r="A447" s="404"/>
      <c r="B447" s="432"/>
      <c r="C447" s="433"/>
      <c r="D447" s="432"/>
      <c r="E447" s="285"/>
      <c r="F447" s="431"/>
      <c r="G447" s="496"/>
    </row>
    <row r="448" spans="1:8" x14ac:dyDescent="0.25">
      <c r="A448" s="109" t="s">
        <v>1902</v>
      </c>
      <c r="B448" s="51"/>
      <c r="C448" s="50" t="s">
        <v>383</v>
      </c>
      <c r="D448" s="51" t="s">
        <v>8</v>
      </c>
      <c r="E448" s="186">
        <v>1</v>
      </c>
      <c r="F448" s="126"/>
      <c r="G448" s="476"/>
    </row>
    <row r="449" spans="1:7" x14ac:dyDescent="0.25">
      <c r="A449" s="404"/>
      <c r="B449" s="432"/>
      <c r="C449" s="433"/>
      <c r="D449" s="432"/>
      <c r="E449" s="285"/>
      <c r="F449" s="431"/>
      <c r="G449" s="496"/>
    </row>
    <row r="450" spans="1:7" x14ac:dyDescent="0.25">
      <c r="A450" s="109" t="s">
        <v>1903</v>
      </c>
      <c r="B450" s="51"/>
      <c r="C450" s="50" t="s">
        <v>373</v>
      </c>
      <c r="D450" s="51" t="s">
        <v>8</v>
      </c>
      <c r="E450" s="186">
        <v>1</v>
      </c>
      <c r="F450" s="126"/>
      <c r="G450" s="476"/>
    </row>
    <row r="451" spans="1:7" x14ac:dyDescent="0.25">
      <c r="A451" s="404"/>
      <c r="B451" s="432"/>
      <c r="C451" s="433"/>
      <c r="D451" s="432"/>
      <c r="E451" s="285"/>
      <c r="F451" s="431"/>
      <c r="G451" s="496"/>
    </row>
    <row r="452" spans="1:7" x14ac:dyDescent="0.25">
      <c r="A452" s="109"/>
      <c r="B452" s="138" t="s">
        <v>205</v>
      </c>
      <c r="C452" s="60" t="s">
        <v>2296</v>
      </c>
      <c r="D452" s="51"/>
      <c r="E452" s="186"/>
      <c r="F452" s="124"/>
      <c r="G452" s="476"/>
    </row>
    <row r="453" spans="1:7" x14ac:dyDescent="0.25">
      <c r="A453" s="404"/>
      <c r="B453" s="432"/>
      <c r="C453" s="433"/>
      <c r="D453" s="432"/>
      <c r="E453" s="285"/>
      <c r="F453" s="431"/>
      <c r="G453" s="496"/>
    </row>
    <row r="454" spans="1:7" ht="47.45" customHeight="1" x14ac:dyDescent="0.25">
      <c r="A454" s="109" t="s">
        <v>1904</v>
      </c>
      <c r="B454" s="51"/>
      <c r="C454" s="135" t="s">
        <v>2297</v>
      </c>
      <c r="D454" s="51" t="s">
        <v>8</v>
      </c>
      <c r="E454" s="186">
        <v>2</v>
      </c>
      <c r="F454" s="126"/>
      <c r="G454" s="476"/>
    </row>
    <row r="455" spans="1:7" x14ac:dyDescent="0.25">
      <c r="A455" s="404"/>
      <c r="B455" s="432"/>
      <c r="C455" s="433"/>
      <c r="D455" s="432"/>
      <c r="E455" s="285"/>
      <c r="F455" s="431"/>
      <c r="G455" s="496"/>
    </row>
    <row r="456" spans="1:7" ht="48" x14ac:dyDescent="0.25">
      <c r="A456" s="109" t="s">
        <v>1905</v>
      </c>
      <c r="B456" s="51"/>
      <c r="C456" s="50" t="s">
        <v>2298</v>
      </c>
      <c r="D456" s="51" t="s">
        <v>8</v>
      </c>
      <c r="E456" s="186">
        <v>2</v>
      </c>
      <c r="F456" s="126"/>
      <c r="G456" s="476"/>
    </row>
    <row r="457" spans="1:7" x14ac:dyDescent="0.25">
      <c r="A457" s="404"/>
      <c r="B457" s="432"/>
      <c r="C457" s="433"/>
      <c r="D457" s="432"/>
      <c r="E457" s="285"/>
      <c r="F457" s="431"/>
      <c r="G457" s="496"/>
    </row>
    <row r="458" spans="1:7" x14ac:dyDescent="0.25">
      <c r="A458" s="109" t="s">
        <v>1906</v>
      </c>
      <c r="B458" s="51"/>
      <c r="C458" s="50" t="s">
        <v>337</v>
      </c>
      <c r="D458" s="51" t="s">
        <v>8</v>
      </c>
      <c r="E458" s="186">
        <v>3</v>
      </c>
      <c r="F458" s="126"/>
      <c r="G458" s="476"/>
    </row>
    <row r="459" spans="1:7" x14ac:dyDescent="0.25">
      <c r="A459" s="404"/>
      <c r="B459" s="432"/>
      <c r="C459" s="433"/>
      <c r="D459" s="432"/>
      <c r="E459" s="285"/>
      <c r="F459" s="431"/>
      <c r="G459" s="496"/>
    </row>
    <row r="460" spans="1:7" ht="24" x14ac:dyDescent="0.25">
      <c r="A460" s="109" t="s">
        <v>1907</v>
      </c>
      <c r="B460" s="51"/>
      <c r="C460" s="50" t="s">
        <v>2299</v>
      </c>
      <c r="D460" s="51" t="s">
        <v>8</v>
      </c>
      <c r="E460" s="186">
        <v>10</v>
      </c>
      <c r="F460" s="126"/>
      <c r="G460" s="476"/>
    </row>
    <row r="461" spans="1:7" x14ac:dyDescent="0.25">
      <c r="A461" s="404"/>
      <c r="B461" s="432"/>
      <c r="C461" s="433"/>
      <c r="D461" s="432"/>
      <c r="E461" s="285"/>
      <c r="F461" s="431"/>
      <c r="G461" s="496"/>
    </row>
    <row r="462" spans="1:7" x14ac:dyDescent="0.25">
      <c r="A462" s="109"/>
      <c r="B462" s="138" t="s">
        <v>146</v>
      </c>
      <c r="C462" s="60" t="s">
        <v>335</v>
      </c>
      <c r="D462" s="51"/>
      <c r="E462" s="186"/>
      <c r="F462" s="124"/>
      <c r="G462" s="476"/>
    </row>
    <row r="463" spans="1:7" x14ac:dyDescent="0.25">
      <c r="A463" s="404"/>
      <c r="B463" s="432"/>
      <c r="C463" s="433"/>
      <c r="D463" s="432"/>
      <c r="E463" s="285"/>
      <c r="F463" s="431"/>
      <c r="G463" s="496"/>
    </row>
    <row r="464" spans="1:7" ht="132" x14ac:dyDescent="0.25">
      <c r="A464" s="109"/>
      <c r="B464" s="51"/>
      <c r="C464" s="135" t="s">
        <v>2135</v>
      </c>
      <c r="D464" s="51"/>
      <c r="E464" s="186"/>
      <c r="F464" s="124"/>
      <c r="G464" s="476"/>
    </row>
    <row r="465" spans="1:8" x14ac:dyDescent="0.25">
      <c r="A465" s="404"/>
      <c r="B465" s="432"/>
      <c r="C465" s="433"/>
      <c r="D465" s="432"/>
      <c r="E465" s="285"/>
      <c r="F465" s="431"/>
      <c r="G465" s="496"/>
    </row>
    <row r="466" spans="1:8" x14ac:dyDescent="0.25">
      <c r="A466" s="109" t="s">
        <v>1908</v>
      </c>
      <c r="B466" s="51"/>
      <c r="C466" s="50" t="s">
        <v>334</v>
      </c>
      <c r="D466" s="51" t="s">
        <v>8</v>
      </c>
      <c r="E466" s="186">
        <v>2</v>
      </c>
      <c r="F466" s="126"/>
      <c r="G466" s="476"/>
    </row>
    <row r="467" spans="1:8" x14ac:dyDescent="0.25">
      <c r="A467" s="404"/>
      <c r="B467" s="432"/>
      <c r="C467" s="433"/>
      <c r="D467" s="432"/>
      <c r="E467" s="285"/>
      <c r="F467" s="431"/>
      <c r="G467" s="496"/>
    </row>
    <row r="468" spans="1:8" x14ac:dyDescent="0.25">
      <c r="A468" s="109"/>
      <c r="B468" s="51"/>
      <c r="C468" s="135"/>
      <c r="D468" s="51"/>
      <c r="E468" s="186"/>
      <c r="F468" s="124"/>
      <c r="G468" s="476"/>
    </row>
    <row r="469" spans="1:8" x14ac:dyDescent="0.25">
      <c r="A469" s="404"/>
      <c r="B469" s="432"/>
      <c r="C469" s="433"/>
      <c r="D469" s="432"/>
      <c r="E469" s="285"/>
      <c r="F469" s="431"/>
      <c r="G469" s="496"/>
    </row>
    <row r="470" spans="1:8" s="21" customFormat="1" ht="28.5" customHeight="1" x14ac:dyDescent="0.25">
      <c r="A470" s="526" t="s">
        <v>609</v>
      </c>
      <c r="B470" s="526"/>
      <c r="C470" s="526"/>
      <c r="D470" s="526"/>
      <c r="E470" s="526"/>
      <c r="F470" s="526"/>
      <c r="G470" s="330"/>
      <c r="H470" s="182"/>
    </row>
    <row r="471" spans="1:8" s="21" customFormat="1" ht="28.5" customHeight="1" x14ac:dyDescent="0.25">
      <c r="A471" s="526" t="s">
        <v>610</v>
      </c>
      <c r="B471" s="526"/>
      <c r="C471" s="526"/>
      <c r="D471" s="526"/>
      <c r="E471" s="526"/>
      <c r="F471" s="526"/>
      <c r="G471" s="330"/>
      <c r="H471" s="182"/>
    </row>
    <row r="472" spans="1:8" x14ac:dyDescent="0.25">
      <c r="A472" s="404"/>
      <c r="B472" s="432"/>
      <c r="C472" s="433"/>
      <c r="D472" s="432"/>
      <c r="E472" s="285"/>
      <c r="F472" s="431"/>
      <c r="G472" s="496"/>
    </row>
    <row r="473" spans="1:8" x14ac:dyDescent="0.25">
      <c r="A473" s="109"/>
      <c r="B473" s="51"/>
      <c r="C473" s="67" t="s">
        <v>2300</v>
      </c>
      <c r="D473" s="51"/>
      <c r="E473" s="186"/>
      <c r="F473" s="124"/>
      <c r="G473" s="476"/>
    </row>
    <row r="474" spans="1:8" x14ac:dyDescent="0.25">
      <c r="A474" s="404"/>
      <c r="B474" s="432"/>
      <c r="C474" s="433"/>
      <c r="D474" s="432"/>
      <c r="E474" s="285"/>
      <c r="F474" s="431"/>
      <c r="G474" s="496"/>
    </row>
    <row r="475" spans="1:8" ht="36" x14ac:dyDescent="0.25">
      <c r="A475" s="109" t="s">
        <v>1909</v>
      </c>
      <c r="B475" s="51"/>
      <c r="C475" s="50" t="s">
        <v>333</v>
      </c>
      <c r="D475" s="51" t="s">
        <v>8</v>
      </c>
      <c r="E475" s="186">
        <v>1</v>
      </c>
      <c r="F475" s="126"/>
      <c r="G475" s="476"/>
    </row>
    <row r="476" spans="1:8" x14ac:dyDescent="0.25">
      <c r="A476" s="404"/>
      <c r="B476" s="432"/>
      <c r="C476" s="433"/>
      <c r="D476" s="432"/>
      <c r="E476" s="285"/>
      <c r="F476" s="431"/>
      <c r="G476" s="496"/>
    </row>
    <row r="477" spans="1:8" ht="36" x14ac:dyDescent="0.25">
      <c r="A477" s="109" t="s">
        <v>1910</v>
      </c>
      <c r="B477" s="51" t="s">
        <v>15</v>
      </c>
      <c r="C477" s="50" t="s">
        <v>2301</v>
      </c>
      <c r="D477" s="214" t="s">
        <v>88</v>
      </c>
      <c r="E477" s="186">
        <v>2</v>
      </c>
      <c r="F477" s="126"/>
      <c r="G477" s="476"/>
    </row>
    <row r="478" spans="1:8" x14ac:dyDescent="0.25">
      <c r="A478" s="404"/>
      <c r="B478" s="432"/>
      <c r="C478" s="433"/>
      <c r="D478" s="432"/>
      <c r="E478" s="285"/>
      <c r="F478" s="431"/>
      <c r="G478" s="496"/>
    </row>
    <row r="479" spans="1:8" ht="36" x14ac:dyDescent="0.25">
      <c r="A479" s="109"/>
      <c r="B479" s="138" t="s">
        <v>12</v>
      </c>
      <c r="C479" s="60" t="s">
        <v>332</v>
      </c>
      <c r="D479" s="51"/>
      <c r="E479" s="186"/>
      <c r="F479" s="124"/>
      <c r="G479" s="476"/>
    </row>
    <row r="480" spans="1:8" x14ac:dyDescent="0.25">
      <c r="A480" s="404"/>
      <c r="B480" s="432"/>
      <c r="C480" s="433"/>
      <c r="D480" s="432"/>
      <c r="E480" s="285"/>
      <c r="F480" s="431"/>
      <c r="G480" s="496"/>
    </row>
    <row r="481" spans="1:7" x14ac:dyDescent="0.25">
      <c r="A481" s="109" t="s">
        <v>1911</v>
      </c>
      <c r="B481" s="51"/>
      <c r="C481" s="50" t="s">
        <v>331</v>
      </c>
      <c r="D481" s="51" t="s">
        <v>8</v>
      </c>
      <c r="E481" s="186">
        <v>1</v>
      </c>
      <c r="F481" s="126"/>
      <c r="G481" s="476"/>
    </row>
    <row r="482" spans="1:7" x14ac:dyDescent="0.25">
      <c r="A482" s="404"/>
      <c r="B482" s="432"/>
      <c r="C482" s="433"/>
      <c r="D482" s="432"/>
      <c r="E482" s="285"/>
      <c r="F482" s="431"/>
      <c r="G482" s="496"/>
    </row>
    <row r="483" spans="1:7" ht="24" x14ac:dyDescent="0.25">
      <c r="A483" s="109" t="s">
        <v>1912</v>
      </c>
      <c r="B483" s="51" t="s">
        <v>295</v>
      </c>
      <c r="C483" s="50" t="s">
        <v>294</v>
      </c>
      <c r="D483" s="51" t="s">
        <v>8</v>
      </c>
      <c r="E483" s="186">
        <v>2</v>
      </c>
      <c r="F483" s="126"/>
      <c r="G483" s="476"/>
    </row>
    <row r="484" spans="1:7" x14ac:dyDescent="0.25">
      <c r="A484" s="404"/>
      <c r="B484" s="432"/>
      <c r="C484" s="433"/>
      <c r="D484" s="432"/>
      <c r="E484" s="285"/>
      <c r="F484" s="431"/>
      <c r="G484" s="496"/>
    </row>
    <row r="485" spans="1:7" x14ac:dyDescent="0.25">
      <c r="A485" s="109" t="s">
        <v>1913</v>
      </c>
      <c r="B485" s="210" t="s">
        <v>2202</v>
      </c>
      <c r="C485" s="119" t="s">
        <v>263</v>
      </c>
      <c r="D485" s="142" t="s">
        <v>8</v>
      </c>
      <c r="E485" s="187">
        <v>12</v>
      </c>
      <c r="F485" s="123"/>
      <c r="G485" s="476"/>
    </row>
    <row r="486" spans="1:7" x14ac:dyDescent="0.25">
      <c r="A486" s="404"/>
      <c r="B486" s="432"/>
      <c r="C486" s="433"/>
      <c r="D486" s="432"/>
      <c r="E486" s="285"/>
      <c r="F486" s="431"/>
      <c r="G486" s="496"/>
    </row>
    <row r="487" spans="1:7" ht="36" x14ac:dyDescent="0.25">
      <c r="A487" s="109"/>
      <c r="B487" s="207" t="s">
        <v>2201</v>
      </c>
      <c r="C487" s="38" t="s">
        <v>751</v>
      </c>
      <c r="D487" s="142"/>
      <c r="E487" s="187"/>
      <c r="F487" s="123"/>
      <c r="G487" s="498"/>
    </row>
    <row r="488" spans="1:7" x14ac:dyDescent="0.25">
      <c r="A488" s="404"/>
      <c r="B488" s="432"/>
      <c r="C488" s="433"/>
      <c r="D488" s="432"/>
      <c r="E488" s="285"/>
      <c r="F488" s="431"/>
      <c r="G488" s="496"/>
    </row>
    <row r="489" spans="1:7" x14ac:dyDescent="0.25">
      <c r="A489" s="109" t="s">
        <v>1914</v>
      </c>
      <c r="B489" s="210"/>
      <c r="C489" s="119" t="s">
        <v>661</v>
      </c>
      <c r="D489" s="142" t="s">
        <v>6</v>
      </c>
      <c r="E489" s="187">
        <v>150</v>
      </c>
      <c r="F489" s="123"/>
      <c r="G489" s="476"/>
    </row>
    <row r="490" spans="1:7" x14ac:dyDescent="0.25">
      <c r="A490" s="404"/>
      <c r="B490" s="432"/>
      <c r="C490" s="433"/>
      <c r="D490" s="432"/>
      <c r="E490" s="285"/>
      <c r="F490" s="431"/>
      <c r="G490" s="496"/>
    </row>
    <row r="491" spans="1:7" x14ac:dyDescent="0.25">
      <c r="A491" s="109" t="s">
        <v>1915</v>
      </c>
      <c r="B491" s="210"/>
      <c r="C491" s="119" t="s">
        <v>660</v>
      </c>
      <c r="D491" s="142" t="s">
        <v>6</v>
      </c>
      <c r="E491" s="187">
        <v>50</v>
      </c>
      <c r="F491" s="123"/>
      <c r="G491" s="476"/>
    </row>
    <row r="492" spans="1:7" x14ac:dyDescent="0.25">
      <c r="A492" s="404"/>
      <c r="B492" s="432"/>
      <c r="C492" s="433"/>
      <c r="D492" s="432"/>
      <c r="E492" s="285"/>
      <c r="F492" s="431"/>
      <c r="G492" s="496"/>
    </row>
    <row r="493" spans="1:7" x14ac:dyDescent="0.25">
      <c r="A493" s="109" t="s">
        <v>1916</v>
      </c>
      <c r="B493" s="210"/>
      <c r="C493" s="119" t="s">
        <v>2302</v>
      </c>
      <c r="D493" s="142" t="s">
        <v>6</v>
      </c>
      <c r="E493" s="187">
        <v>35</v>
      </c>
      <c r="F493" s="123"/>
      <c r="G493" s="476"/>
    </row>
    <row r="494" spans="1:7" x14ac:dyDescent="0.25">
      <c r="A494" s="404"/>
      <c r="B494" s="432"/>
      <c r="C494" s="433"/>
      <c r="D494" s="432"/>
      <c r="E494" s="285"/>
      <c r="F494" s="431"/>
      <c r="G494" s="496"/>
    </row>
    <row r="495" spans="1:7" ht="36" x14ac:dyDescent="0.25">
      <c r="A495" s="109" t="s">
        <v>1917</v>
      </c>
      <c r="B495" s="210" t="s">
        <v>2272</v>
      </c>
      <c r="C495" s="119" t="s">
        <v>2305</v>
      </c>
      <c r="D495" s="142" t="s">
        <v>8</v>
      </c>
      <c r="E495" s="187">
        <v>5</v>
      </c>
      <c r="F495" s="123"/>
      <c r="G495" s="476"/>
    </row>
    <row r="496" spans="1:7" x14ac:dyDescent="0.25">
      <c r="A496" s="404"/>
      <c r="B496" s="432"/>
      <c r="C496" s="433"/>
      <c r="D496" s="432"/>
      <c r="E496" s="285"/>
      <c r="F496" s="431"/>
      <c r="G496" s="496"/>
    </row>
    <row r="497" spans="1:7" ht="36" x14ac:dyDescent="0.25">
      <c r="A497" s="109"/>
      <c r="B497" s="210" t="s">
        <v>2273</v>
      </c>
      <c r="C497" s="119" t="s">
        <v>2304</v>
      </c>
      <c r="D497" s="142"/>
      <c r="E497" s="187"/>
      <c r="F497" s="123"/>
      <c r="G497" s="498"/>
    </row>
    <row r="498" spans="1:7" x14ac:dyDescent="0.25">
      <c r="A498" s="404"/>
      <c r="B498" s="432"/>
      <c r="C498" s="433"/>
      <c r="D498" s="432"/>
      <c r="E498" s="285"/>
      <c r="F498" s="431"/>
      <c r="G498" s="496"/>
    </row>
    <row r="499" spans="1:7" x14ac:dyDescent="0.25">
      <c r="A499" s="109" t="s">
        <v>1918</v>
      </c>
      <c r="B499" s="51"/>
      <c r="C499" s="50" t="s">
        <v>330</v>
      </c>
      <c r="D499" s="142" t="s">
        <v>328</v>
      </c>
      <c r="E499" s="187">
        <v>2</v>
      </c>
      <c r="F499" s="123"/>
      <c r="G499" s="476"/>
    </row>
    <row r="500" spans="1:7" x14ac:dyDescent="0.25">
      <c r="A500" s="404"/>
      <c r="B500" s="432"/>
      <c r="C500" s="433"/>
      <c r="D500" s="432"/>
      <c r="E500" s="285"/>
      <c r="F500" s="431"/>
      <c r="G500" s="496"/>
    </row>
    <row r="501" spans="1:7" x14ac:dyDescent="0.25">
      <c r="A501" s="109" t="s">
        <v>1919</v>
      </c>
      <c r="B501" s="51"/>
      <c r="C501" s="50" t="s">
        <v>329</v>
      </c>
      <c r="D501" s="142" t="s">
        <v>328</v>
      </c>
      <c r="E501" s="187">
        <v>5</v>
      </c>
      <c r="F501" s="123"/>
      <c r="G501" s="476"/>
    </row>
    <row r="502" spans="1:7" x14ac:dyDescent="0.25">
      <c r="A502" s="404"/>
      <c r="B502" s="432"/>
      <c r="C502" s="433"/>
      <c r="D502" s="432"/>
      <c r="E502" s="285"/>
      <c r="F502" s="431"/>
      <c r="G502" s="496"/>
    </row>
    <row r="503" spans="1:7" ht="23.25" customHeight="1" x14ac:dyDescent="0.25">
      <c r="A503" s="340" t="s">
        <v>1744</v>
      </c>
      <c r="B503" s="138" t="s">
        <v>321</v>
      </c>
      <c r="C503" s="60" t="s">
        <v>320</v>
      </c>
      <c r="D503" s="51"/>
      <c r="E503" s="186"/>
      <c r="F503" s="123"/>
      <c r="G503" s="494"/>
    </row>
    <row r="504" spans="1:7" x14ac:dyDescent="0.25">
      <c r="A504" s="404"/>
      <c r="B504" s="432"/>
      <c r="C504" s="433"/>
      <c r="D504" s="432"/>
      <c r="E504" s="285"/>
      <c r="F504" s="431"/>
      <c r="G504" s="496"/>
    </row>
    <row r="505" spans="1:7" ht="36" x14ac:dyDescent="0.25">
      <c r="A505" s="109" t="s">
        <v>1745</v>
      </c>
      <c r="B505" s="51" t="s">
        <v>18</v>
      </c>
      <c r="C505" s="50" t="s">
        <v>2279</v>
      </c>
      <c r="D505" s="214" t="s">
        <v>88</v>
      </c>
      <c r="E505" s="186">
        <v>2</v>
      </c>
      <c r="F505" s="123"/>
      <c r="G505" s="476"/>
    </row>
    <row r="506" spans="1:7" x14ac:dyDescent="0.25">
      <c r="A506" s="434"/>
      <c r="B506" s="435"/>
      <c r="C506" s="436"/>
      <c r="D506" s="251"/>
      <c r="E506" s="466"/>
      <c r="F506" s="431"/>
      <c r="G506" s="501"/>
    </row>
    <row r="507" spans="1:7" x14ac:dyDescent="0.25">
      <c r="A507" s="109"/>
      <c r="B507" s="51"/>
      <c r="C507" s="50"/>
      <c r="D507" s="210"/>
      <c r="E507" s="186"/>
      <c r="F507" s="123"/>
      <c r="G507" s="476"/>
    </row>
    <row r="508" spans="1:7" x14ac:dyDescent="0.25">
      <c r="A508" s="434"/>
      <c r="B508" s="435"/>
      <c r="C508" s="436"/>
      <c r="D508" s="435"/>
      <c r="E508" s="466"/>
      <c r="F508" s="431"/>
      <c r="G508" s="501"/>
    </row>
    <row r="509" spans="1:7" ht="28.5" customHeight="1" x14ac:dyDescent="0.25">
      <c r="A509" s="526" t="s">
        <v>609</v>
      </c>
      <c r="B509" s="526"/>
      <c r="C509" s="526"/>
      <c r="D509" s="526"/>
      <c r="E509" s="526"/>
      <c r="F509" s="526"/>
      <c r="G509" s="330"/>
    </row>
    <row r="510" spans="1:7" ht="28.5" customHeight="1" x14ac:dyDescent="0.25">
      <c r="A510" s="526" t="s">
        <v>610</v>
      </c>
      <c r="B510" s="526"/>
      <c r="C510" s="526"/>
      <c r="D510" s="526"/>
      <c r="E510" s="526"/>
      <c r="F510" s="526"/>
      <c r="G510" s="330"/>
    </row>
    <row r="511" spans="1:7" x14ac:dyDescent="0.25">
      <c r="A511" s="404"/>
      <c r="B511" s="432"/>
      <c r="C511" s="433"/>
      <c r="D511" s="432"/>
      <c r="E511" s="285"/>
      <c r="F511" s="431"/>
      <c r="G511" s="496"/>
    </row>
    <row r="512" spans="1:7" ht="24" x14ac:dyDescent="0.25">
      <c r="A512" s="340" t="s">
        <v>1746</v>
      </c>
      <c r="B512" s="138" t="s">
        <v>318</v>
      </c>
      <c r="C512" s="60" t="s">
        <v>317</v>
      </c>
      <c r="D512" s="51"/>
      <c r="E512" s="186"/>
      <c r="F512" s="123"/>
      <c r="G512" s="451"/>
    </row>
    <row r="513" spans="1:7" x14ac:dyDescent="0.25">
      <c r="A513" s="404"/>
      <c r="B513" s="432"/>
      <c r="C513" s="433"/>
      <c r="D513" s="432"/>
      <c r="E513" s="285"/>
      <c r="F513" s="431"/>
      <c r="G513" s="496"/>
    </row>
    <row r="514" spans="1:7" ht="48" x14ac:dyDescent="0.25">
      <c r="A514" s="109" t="s">
        <v>1747</v>
      </c>
      <c r="B514" s="51" t="s">
        <v>18</v>
      </c>
      <c r="C514" s="50" t="s">
        <v>2280</v>
      </c>
      <c r="D514" s="214" t="s">
        <v>88</v>
      </c>
      <c r="E514" s="186">
        <v>2</v>
      </c>
      <c r="F514" s="123"/>
      <c r="G514" s="476"/>
    </row>
    <row r="515" spans="1:7" x14ac:dyDescent="0.25">
      <c r="A515" s="404"/>
      <c r="B515" s="432"/>
      <c r="C515" s="433"/>
      <c r="D515" s="432"/>
      <c r="E515" s="285"/>
      <c r="F515" s="431"/>
      <c r="G515" s="496"/>
    </row>
    <row r="516" spans="1:7" ht="24" x14ac:dyDescent="0.25">
      <c r="A516" s="340" t="s">
        <v>1748</v>
      </c>
      <c r="B516" s="138" t="s">
        <v>315</v>
      </c>
      <c r="C516" s="60" t="s">
        <v>314</v>
      </c>
      <c r="D516" s="51"/>
      <c r="E516" s="186"/>
      <c r="F516" s="123"/>
      <c r="G516" s="451"/>
    </row>
    <row r="517" spans="1:7" x14ac:dyDescent="0.25">
      <c r="A517" s="404"/>
      <c r="B517" s="432"/>
      <c r="C517" s="433"/>
      <c r="D517" s="432"/>
      <c r="E517" s="285"/>
      <c r="F517" s="431"/>
      <c r="G517" s="496"/>
    </row>
    <row r="518" spans="1:7" ht="25.5" x14ac:dyDescent="0.25">
      <c r="A518" s="109" t="s">
        <v>1749</v>
      </c>
      <c r="B518" s="51" t="s">
        <v>313</v>
      </c>
      <c r="C518" s="50" t="s">
        <v>312</v>
      </c>
      <c r="D518" s="142" t="s">
        <v>87</v>
      </c>
      <c r="E518" s="186">
        <v>7.5</v>
      </c>
      <c r="F518" s="123"/>
      <c r="G518" s="476"/>
    </row>
    <row r="519" spans="1:7" x14ac:dyDescent="0.25">
      <c r="A519" s="404"/>
      <c r="B519" s="432"/>
      <c r="C519" s="433"/>
      <c r="D519" s="432"/>
      <c r="E519" s="285"/>
      <c r="F519" s="431"/>
      <c r="G519" s="496"/>
    </row>
    <row r="520" spans="1:7" ht="24" x14ac:dyDescent="0.25">
      <c r="A520" s="109" t="s">
        <v>1750</v>
      </c>
      <c r="B520" s="51" t="s">
        <v>311</v>
      </c>
      <c r="C520" s="50" t="s">
        <v>310</v>
      </c>
      <c r="D520" s="142" t="s">
        <v>87</v>
      </c>
      <c r="E520" s="186">
        <v>1</v>
      </c>
      <c r="F520" s="128"/>
      <c r="G520" s="476"/>
    </row>
    <row r="521" spans="1:7" x14ac:dyDescent="0.25">
      <c r="A521" s="404"/>
      <c r="B521" s="432"/>
      <c r="C521" s="433"/>
      <c r="D521" s="432"/>
      <c r="E521" s="285"/>
      <c r="F521" s="431"/>
      <c r="G521" s="496"/>
    </row>
    <row r="522" spans="1:7" x14ac:dyDescent="0.25">
      <c r="A522" s="109"/>
      <c r="B522" s="51"/>
      <c r="C522" s="50"/>
      <c r="D522" s="142"/>
      <c r="E522" s="186"/>
      <c r="F522" s="128"/>
      <c r="G522" s="476"/>
    </row>
    <row r="523" spans="1:7" x14ac:dyDescent="0.25">
      <c r="A523" s="404"/>
      <c r="B523" s="432"/>
      <c r="C523" s="433"/>
      <c r="D523" s="432"/>
      <c r="E523" s="285"/>
      <c r="F523" s="431"/>
      <c r="G523" s="496"/>
    </row>
    <row r="524" spans="1:7" x14ac:dyDescent="0.25">
      <c r="B524" s="214"/>
      <c r="C524" s="343"/>
      <c r="D524" s="249"/>
      <c r="F524" s="129"/>
      <c r="G524" s="498"/>
    </row>
    <row r="525" spans="1:7" x14ac:dyDescent="0.25">
      <c r="A525" s="404"/>
      <c r="B525" s="432"/>
      <c r="C525" s="433"/>
      <c r="D525" s="432"/>
      <c r="E525" s="285"/>
      <c r="F525" s="431"/>
      <c r="G525" s="496"/>
    </row>
    <row r="526" spans="1:7" x14ac:dyDescent="0.25">
      <c r="A526" s="109"/>
      <c r="B526" s="51"/>
      <c r="C526" s="50"/>
      <c r="D526" s="142"/>
      <c r="E526" s="186"/>
      <c r="F526" s="128"/>
      <c r="G526" s="476"/>
    </row>
    <row r="527" spans="1:7" x14ac:dyDescent="0.25">
      <c r="A527" s="404"/>
      <c r="B527" s="432"/>
      <c r="C527" s="433"/>
      <c r="D527" s="432"/>
      <c r="E527" s="285"/>
      <c r="F527" s="431"/>
      <c r="G527" s="496"/>
    </row>
    <row r="528" spans="1:7" x14ac:dyDescent="0.25">
      <c r="B528" s="214"/>
      <c r="C528" s="343"/>
      <c r="D528" s="249"/>
      <c r="F528" s="129"/>
      <c r="G528" s="498"/>
    </row>
    <row r="529" spans="1:7" x14ac:dyDescent="0.25">
      <c r="A529" s="404"/>
      <c r="B529" s="432"/>
      <c r="C529" s="433"/>
      <c r="D529" s="432"/>
      <c r="E529" s="285"/>
      <c r="F529" s="431"/>
      <c r="G529" s="496"/>
    </row>
    <row r="530" spans="1:7" x14ac:dyDescent="0.25">
      <c r="A530" s="109"/>
      <c r="B530" s="51"/>
      <c r="C530" s="50"/>
      <c r="D530" s="142"/>
      <c r="E530" s="186"/>
      <c r="F530" s="128"/>
      <c r="G530" s="476"/>
    </row>
    <row r="531" spans="1:7" x14ac:dyDescent="0.25">
      <c r="A531" s="404"/>
      <c r="B531" s="432"/>
      <c r="C531" s="433"/>
      <c r="D531" s="432"/>
      <c r="E531" s="285"/>
      <c r="F531" s="431"/>
      <c r="G531" s="496"/>
    </row>
    <row r="532" spans="1:7" x14ac:dyDescent="0.25">
      <c r="B532" s="214"/>
      <c r="C532" s="343"/>
      <c r="D532" s="249"/>
      <c r="F532" s="129"/>
      <c r="G532" s="498"/>
    </row>
    <row r="533" spans="1:7" x14ac:dyDescent="0.25">
      <c r="A533" s="404"/>
      <c r="B533" s="432"/>
      <c r="C533" s="433"/>
      <c r="D533" s="432"/>
      <c r="E533" s="285"/>
      <c r="F533" s="431"/>
      <c r="G533" s="496"/>
    </row>
    <row r="534" spans="1:7" x14ac:dyDescent="0.25">
      <c r="A534" s="109"/>
      <c r="B534" s="51"/>
      <c r="C534" s="50"/>
      <c r="D534" s="142"/>
      <c r="E534" s="186"/>
      <c r="F534" s="128"/>
      <c r="G534" s="476"/>
    </row>
    <row r="535" spans="1:7" x14ac:dyDescent="0.25">
      <c r="A535" s="404"/>
      <c r="B535" s="432"/>
      <c r="C535" s="433"/>
      <c r="D535" s="432"/>
      <c r="E535" s="285"/>
      <c r="F535" s="431"/>
      <c r="G535" s="496"/>
    </row>
    <row r="536" spans="1:7" x14ac:dyDescent="0.25">
      <c r="B536" s="214"/>
      <c r="C536" s="343"/>
      <c r="D536" s="249"/>
      <c r="F536" s="129"/>
      <c r="G536" s="498"/>
    </row>
    <row r="537" spans="1:7" x14ac:dyDescent="0.25">
      <c r="A537" s="404"/>
      <c r="B537" s="432"/>
      <c r="C537" s="433"/>
      <c r="D537" s="432"/>
      <c r="E537" s="285"/>
      <c r="F537" s="431"/>
      <c r="G537" s="496"/>
    </row>
    <row r="538" spans="1:7" x14ac:dyDescent="0.25">
      <c r="A538" s="109"/>
      <c r="B538" s="51"/>
      <c r="C538" s="50"/>
      <c r="D538" s="142"/>
      <c r="E538" s="186"/>
      <c r="F538" s="128"/>
      <c r="G538" s="476"/>
    </row>
    <row r="539" spans="1:7" x14ac:dyDescent="0.25">
      <c r="A539" s="404"/>
      <c r="B539" s="432"/>
      <c r="C539" s="433"/>
      <c r="D539" s="432"/>
      <c r="E539" s="285"/>
      <c r="F539" s="431"/>
      <c r="G539" s="496"/>
    </row>
    <row r="540" spans="1:7" x14ac:dyDescent="0.25">
      <c r="B540" s="214"/>
      <c r="C540" s="343"/>
      <c r="D540" s="249"/>
      <c r="F540" s="129"/>
      <c r="G540" s="498"/>
    </row>
    <row r="541" spans="1:7" x14ac:dyDescent="0.25">
      <c r="A541" s="404"/>
      <c r="B541" s="432"/>
      <c r="C541" s="433"/>
      <c r="D541" s="432"/>
      <c r="E541" s="285"/>
      <c r="F541" s="431"/>
      <c r="G541" s="496"/>
    </row>
    <row r="542" spans="1:7" x14ac:dyDescent="0.25">
      <c r="A542" s="109"/>
      <c r="B542" s="51"/>
      <c r="C542" s="50"/>
      <c r="D542" s="142"/>
      <c r="E542" s="186"/>
      <c r="F542" s="128"/>
      <c r="G542" s="476"/>
    </row>
    <row r="543" spans="1:7" x14ac:dyDescent="0.25">
      <c r="A543" s="404"/>
      <c r="B543" s="432"/>
      <c r="C543" s="433"/>
      <c r="D543" s="432"/>
      <c r="E543" s="285"/>
      <c r="F543" s="431"/>
      <c r="G543" s="496"/>
    </row>
    <row r="544" spans="1:7" x14ac:dyDescent="0.25">
      <c r="A544" s="109"/>
      <c r="B544" s="51"/>
      <c r="C544" s="50"/>
      <c r="D544" s="142"/>
      <c r="E544" s="186"/>
      <c r="F544" s="128"/>
      <c r="G544" s="476"/>
    </row>
    <row r="545" spans="1:8" x14ac:dyDescent="0.25">
      <c r="A545" s="404"/>
      <c r="B545" s="432"/>
      <c r="C545" s="433"/>
      <c r="D545" s="432"/>
      <c r="E545" s="285"/>
      <c r="F545" s="431"/>
      <c r="G545" s="496"/>
    </row>
    <row r="546" spans="1:8" x14ac:dyDescent="0.25">
      <c r="B546" s="214"/>
      <c r="C546" s="343"/>
      <c r="D546" s="249"/>
      <c r="F546" s="129"/>
      <c r="G546" s="498"/>
    </row>
    <row r="547" spans="1:8" x14ac:dyDescent="0.25">
      <c r="A547" s="404"/>
      <c r="B547" s="432"/>
      <c r="C547" s="433"/>
      <c r="D547" s="432"/>
      <c r="E547" s="285"/>
      <c r="F547" s="431"/>
      <c r="G547" s="496"/>
    </row>
    <row r="548" spans="1:8" x14ac:dyDescent="0.25">
      <c r="A548" s="109"/>
      <c r="B548" s="51"/>
      <c r="C548" s="50"/>
      <c r="D548" s="142"/>
      <c r="E548" s="186"/>
      <c r="F548" s="128"/>
      <c r="G548" s="476"/>
    </row>
    <row r="549" spans="1:8" x14ac:dyDescent="0.25">
      <c r="A549" s="404"/>
      <c r="B549" s="432"/>
      <c r="C549" s="433"/>
      <c r="D549" s="432"/>
      <c r="E549" s="285"/>
      <c r="F549" s="431"/>
      <c r="G549" s="496"/>
    </row>
    <row r="550" spans="1:8" x14ac:dyDescent="0.25">
      <c r="B550" s="214"/>
      <c r="C550" s="343"/>
      <c r="D550" s="249"/>
      <c r="F550" s="129"/>
      <c r="G550" s="498"/>
    </row>
    <row r="551" spans="1:8" x14ac:dyDescent="0.25">
      <c r="A551" s="404"/>
      <c r="B551" s="432"/>
      <c r="C551" s="433"/>
      <c r="D551" s="432"/>
      <c r="E551" s="285"/>
      <c r="F551" s="431"/>
      <c r="G551" s="496"/>
    </row>
    <row r="552" spans="1:8" x14ac:dyDescent="0.25">
      <c r="B552" s="214"/>
      <c r="C552" s="343"/>
      <c r="D552" s="249"/>
      <c r="F552" s="129"/>
      <c r="G552" s="498"/>
    </row>
    <row r="553" spans="1:8" x14ac:dyDescent="0.25">
      <c r="A553" s="404"/>
      <c r="B553" s="432"/>
      <c r="C553" s="433"/>
      <c r="D553" s="432"/>
      <c r="E553" s="285"/>
      <c r="F553" s="431"/>
      <c r="G553" s="496"/>
    </row>
    <row r="554" spans="1:8" x14ac:dyDescent="0.25">
      <c r="B554" s="214"/>
      <c r="C554" s="343"/>
      <c r="D554" s="249"/>
      <c r="F554" s="129"/>
      <c r="G554" s="498"/>
    </row>
    <row r="555" spans="1:8" x14ac:dyDescent="0.25">
      <c r="A555" s="404"/>
      <c r="B555" s="432"/>
      <c r="C555" s="433"/>
      <c r="D555" s="432"/>
      <c r="E555" s="285"/>
      <c r="F555" s="431"/>
      <c r="G555" s="496"/>
    </row>
    <row r="556" spans="1:8" x14ac:dyDescent="0.25">
      <c r="B556" s="214"/>
      <c r="C556" s="343"/>
      <c r="D556" s="249"/>
      <c r="F556" s="129"/>
      <c r="G556" s="498"/>
    </row>
    <row r="557" spans="1:8" s="21" customFormat="1" ht="28.5" customHeight="1" x14ac:dyDescent="0.25">
      <c r="A557" s="526" t="s">
        <v>1997</v>
      </c>
      <c r="B557" s="526"/>
      <c r="C557" s="526"/>
      <c r="D557" s="526"/>
      <c r="E557" s="526"/>
      <c r="F557" s="526"/>
      <c r="G557" s="345"/>
      <c r="H557" s="182"/>
    </row>
    <row r="558" spans="1:8" x14ac:dyDescent="0.25">
      <c r="A558" s="404"/>
      <c r="B558" s="432"/>
      <c r="C558" s="433"/>
      <c r="D558" s="432"/>
      <c r="E558" s="285"/>
      <c r="F558" s="431"/>
      <c r="G558" s="496"/>
    </row>
    <row r="559" spans="1:8" x14ac:dyDescent="0.25">
      <c r="A559" s="289" t="s">
        <v>1751</v>
      </c>
      <c r="B559" s="207"/>
      <c r="C559" s="284" t="s">
        <v>2110</v>
      </c>
      <c r="D559" s="207"/>
      <c r="E559" s="186"/>
      <c r="F559" s="122"/>
      <c r="G559" s="209"/>
    </row>
    <row r="560" spans="1:8" x14ac:dyDescent="0.25">
      <c r="A560" s="404"/>
      <c r="B560" s="432"/>
      <c r="C560" s="433"/>
      <c r="D560" s="432"/>
      <c r="E560" s="285"/>
      <c r="F560" s="431"/>
      <c r="G560" s="496"/>
    </row>
    <row r="561" spans="1:7" ht="24" x14ac:dyDescent="0.25">
      <c r="A561" s="231" t="s">
        <v>372</v>
      </c>
      <c r="B561" s="207" t="s">
        <v>14</v>
      </c>
      <c r="C561" s="38" t="s">
        <v>204</v>
      </c>
      <c r="D561" s="207"/>
      <c r="E561" s="186"/>
      <c r="F561" s="122"/>
      <c r="G561" s="209"/>
    </row>
    <row r="562" spans="1:7" x14ac:dyDescent="0.25">
      <c r="A562" s="404"/>
      <c r="B562" s="432"/>
      <c r="C562" s="433"/>
      <c r="D562" s="432"/>
      <c r="E562" s="285"/>
      <c r="F562" s="431"/>
      <c r="G562" s="496"/>
    </row>
    <row r="563" spans="1:7" x14ac:dyDescent="0.25">
      <c r="A563" s="108" t="s">
        <v>1752</v>
      </c>
      <c r="B563" s="210" t="s">
        <v>2203</v>
      </c>
      <c r="C563" s="119" t="s">
        <v>292</v>
      </c>
      <c r="D563" s="210" t="s">
        <v>371</v>
      </c>
      <c r="E563" s="211">
        <v>0.4</v>
      </c>
      <c r="F563" s="122"/>
      <c r="G563" s="476"/>
    </row>
    <row r="564" spans="1:7" x14ac:dyDescent="0.25">
      <c r="A564" s="404"/>
      <c r="B564" s="432"/>
      <c r="C564" s="433"/>
      <c r="D564" s="432"/>
      <c r="E564" s="285"/>
      <c r="F564" s="431"/>
      <c r="G564" s="496"/>
    </row>
    <row r="565" spans="1:7" ht="24" x14ac:dyDescent="0.25">
      <c r="A565" s="108"/>
      <c r="B565" s="207" t="s">
        <v>7</v>
      </c>
      <c r="C565" s="38" t="s">
        <v>2306</v>
      </c>
      <c r="D565" s="210"/>
      <c r="E565" s="211"/>
      <c r="F565" s="122"/>
      <c r="G565" s="209"/>
    </row>
    <row r="566" spans="1:7" x14ac:dyDescent="0.25">
      <c r="A566" s="404"/>
      <c r="B566" s="432"/>
      <c r="C566" s="433"/>
      <c r="D566" s="432"/>
      <c r="E566" s="285"/>
      <c r="F566" s="431"/>
      <c r="G566" s="496"/>
    </row>
    <row r="567" spans="1:7" x14ac:dyDescent="0.25">
      <c r="A567" s="108" t="s">
        <v>1753</v>
      </c>
      <c r="B567" s="210"/>
      <c r="C567" s="119" t="s">
        <v>370</v>
      </c>
      <c r="D567" s="210" t="s">
        <v>8</v>
      </c>
      <c r="E567" s="211">
        <v>1</v>
      </c>
      <c r="F567" s="122"/>
      <c r="G567" s="476"/>
    </row>
    <row r="568" spans="1:7" x14ac:dyDescent="0.25">
      <c r="A568" s="404"/>
      <c r="B568" s="432"/>
      <c r="C568" s="433"/>
      <c r="D568" s="432"/>
      <c r="E568" s="285"/>
      <c r="F568" s="431"/>
      <c r="G568" s="496"/>
    </row>
    <row r="569" spans="1:7" x14ac:dyDescent="0.25">
      <c r="A569" s="108" t="s">
        <v>1920</v>
      </c>
      <c r="B569" s="210"/>
      <c r="C569" s="50" t="s">
        <v>369</v>
      </c>
      <c r="D569" s="210" t="s">
        <v>8</v>
      </c>
      <c r="E569" s="211">
        <v>1</v>
      </c>
      <c r="F569" s="122"/>
      <c r="G569" s="476"/>
    </row>
    <row r="570" spans="1:7" x14ac:dyDescent="0.25">
      <c r="A570" s="404"/>
      <c r="B570" s="432"/>
      <c r="C570" s="433"/>
      <c r="D570" s="432"/>
      <c r="E570" s="285"/>
      <c r="F570" s="431"/>
      <c r="G570" s="496"/>
    </row>
    <row r="571" spans="1:7" ht="24" x14ac:dyDescent="0.25">
      <c r="A571" s="214" t="s">
        <v>1921</v>
      </c>
      <c r="B571" s="210" t="s">
        <v>163</v>
      </c>
      <c r="C571" s="119" t="s">
        <v>164</v>
      </c>
      <c r="D571" s="210" t="s">
        <v>6</v>
      </c>
      <c r="E571" s="187">
        <v>20</v>
      </c>
      <c r="F571" s="122"/>
      <c r="G571" s="476"/>
    </row>
    <row r="572" spans="1:7" x14ac:dyDescent="0.25">
      <c r="A572" s="404"/>
      <c r="B572" s="432"/>
      <c r="C572" s="433"/>
      <c r="D572" s="432"/>
      <c r="E572" s="285"/>
      <c r="F572" s="431"/>
      <c r="G572" s="496"/>
    </row>
    <row r="573" spans="1:7" ht="36" x14ac:dyDescent="0.25">
      <c r="A573" s="214" t="s">
        <v>1922</v>
      </c>
      <c r="B573" s="210" t="s">
        <v>2283</v>
      </c>
      <c r="C573" s="213" t="s">
        <v>2204</v>
      </c>
      <c r="D573" s="214" t="s">
        <v>88</v>
      </c>
      <c r="E573" s="187">
        <v>10</v>
      </c>
      <c r="F573" s="122"/>
      <c r="G573" s="476"/>
    </row>
    <row r="574" spans="1:7" x14ac:dyDescent="0.25">
      <c r="A574" s="404"/>
      <c r="B574" s="432"/>
      <c r="C574" s="433"/>
      <c r="D574" s="432"/>
      <c r="E574" s="285"/>
      <c r="F574" s="431"/>
      <c r="G574" s="496"/>
    </row>
    <row r="575" spans="1:7" ht="24" x14ac:dyDescent="0.25">
      <c r="A575" s="214" t="s">
        <v>1757</v>
      </c>
      <c r="B575" s="210" t="s">
        <v>2147</v>
      </c>
      <c r="C575" s="213" t="s">
        <v>2308</v>
      </c>
      <c r="D575" s="109" t="s">
        <v>2307</v>
      </c>
      <c r="E575" s="187">
        <v>7.5</v>
      </c>
      <c r="F575" s="122"/>
      <c r="G575" s="476"/>
    </row>
    <row r="576" spans="1:7" x14ac:dyDescent="0.25">
      <c r="A576" s="404"/>
      <c r="B576" s="432"/>
      <c r="C576" s="433"/>
      <c r="D576" s="432"/>
      <c r="E576" s="285"/>
      <c r="F576" s="431"/>
      <c r="G576" s="496"/>
    </row>
    <row r="577" spans="1:10" ht="48" x14ac:dyDescent="0.25">
      <c r="A577" s="214"/>
      <c r="B577" s="207" t="s">
        <v>242</v>
      </c>
      <c r="C577" s="38" t="s">
        <v>2309</v>
      </c>
      <c r="D577" s="210"/>
      <c r="E577" s="187"/>
      <c r="F577" s="122"/>
      <c r="G577" s="209"/>
    </row>
    <row r="578" spans="1:10" x14ac:dyDescent="0.25">
      <c r="A578" s="404"/>
      <c r="B578" s="432"/>
      <c r="C578" s="433"/>
      <c r="D578" s="432"/>
      <c r="E578" s="285"/>
      <c r="F578" s="431"/>
      <c r="G578" s="496"/>
    </row>
    <row r="579" spans="1:10" x14ac:dyDescent="0.25">
      <c r="A579" s="214" t="s">
        <v>1758</v>
      </c>
      <c r="B579" s="210"/>
      <c r="C579" s="119" t="s">
        <v>2311</v>
      </c>
      <c r="D579" s="210" t="s">
        <v>8</v>
      </c>
      <c r="E579" s="187">
        <v>4</v>
      </c>
      <c r="F579" s="122"/>
      <c r="G579" s="476"/>
    </row>
    <row r="580" spans="1:10" x14ac:dyDescent="0.25">
      <c r="A580" s="404"/>
      <c r="B580" s="432"/>
      <c r="C580" s="433"/>
      <c r="D580" s="432"/>
      <c r="E580" s="285"/>
      <c r="F580" s="431"/>
      <c r="G580" s="496"/>
    </row>
    <row r="581" spans="1:10" x14ac:dyDescent="0.25">
      <c r="A581" s="214" t="s">
        <v>1923</v>
      </c>
      <c r="B581" s="210"/>
      <c r="C581" s="119" t="s">
        <v>2310</v>
      </c>
      <c r="D581" s="210" t="s">
        <v>8</v>
      </c>
      <c r="E581" s="187">
        <v>2</v>
      </c>
      <c r="F581" s="122"/>
      <c r="G581" s="476"/>
    </row>
    <row r="582" spans="1:10" x14ac:dyDescent="0.25">
      <c r="A582" s="404"/>
      <c r="B582" s="432"/>
      <c r="C582" s="433"/>
      <c r="D582" s="432"/>
      <c r="E582" s="285"/>
      <c r="F582" s="431"/>
      <c r="G582" s="496"/>
    </row>
    <row r="583" spans="1:10" ht="24" x14ac:dyDescent="0.25">
      <c r="A583" s="214" t="s">
        <v>1924</v>
      </c>
      <c r="B583" s="210" t="s">
        <v>242</v>
      </c>
      <c r="C583" s="119" t="s">
        <v>365</v>
      </c>
      <c r="D583" s="210" t="s">
        <v>8</v>
      </c>
      <c r="E583" s="187">
        <v>5</v>
      </c>
      <c r="F583" s="122"/>
      <c r="G583" s="476"/>
    </row>
    <row r="584" spans="1:10" x14ac:dyDescent="0.25">
      <c r="A584" s="404"/>
      <c r="B584" s="432"/>
      <c r="C584" s="433"/>
      <c r="D584" s="432"/>
      <c r="E584" s="285"/>
      <c r="F584" s="431"/>
      <c r="G584" s="496"/>
    </row>
    <row r="585" spans="1:10" ht="24" x14ac:dyDescent="0.25">
      <c r="A585" s="340" t="s">
        <v>1759</v>
      </c>
      <c r="B585" s="138" t="s">
        <v>2207</v>
      </c>
      <c r="C585" s="60" t="s">
        <v>2208</v>
      </c>
      <c r="D585" s="52"/>
      <c r="E585" s="187"/>
      <c r="F585" s="123"/>
      <c r="G585" s="495"/>
    </row>
    <row r="586" spans="1:10" x14ac:dyDescent="0.25">
      <c r="A586" s="404"/>
      <c r="B586" s="432"/>
      <c r="C586" s="433"/>
      <c r="D586" s="432"/>
      <c r="E586" s="285"/>
      <c r="F586" s="431"/>
      <c r="G586" s="496"/>
    </row>
    <row r="587" spans="1:10" ht="24" x14ac:dyDescent="0.25">
      <c r="A587" s="109" t="s">
        <v>1760</v>
      </c>
      <c r="B587" s="51" t="s">
        <v>2211</v>
      </c>
      <c r="C587" s="50" t="s">
        <v>2212</v>
      </c>
      <c r="D587" s="142" t="s">
        <v>87</v>
      </c>
      <c r="E587" s="187">
        <v>300</v>
      </c>
      <c r="F587" s="123"/>
      <c r="G587" s="476"/>
      <c r="H587" s="510"/>
      <c r="I587" s="490"/>
      <c r="J587" s="226"/>
    </row>
    <row r="588" spans="1:10" x14ac:dyDescent="0.25">
      <c r="A588" s="404"/>
      <c r="B588" s="432"/>
      <c r="C588" s="433"/>
      <c r="D588" s="432"/>
      <c r="E588" s="285"/>
      <c r="F588" s="431"/>
      <c r="G588" s="496"/>
      <c r="H588" s="511"/>
      <c r="I588" s="491"/>
      <c r="J588" s="489"/>
    </row>
    <row r="589" spans="1:10" x14ac:dyDescent="0.25">
      <c r="A589" s="108"/>
      <c r="B589" s="153" t="s">
        <v>11</v>
      </c>
      <c r="C589" s="469" t="s">
        <v>2313</v>
      </c>
      <c r="D589" s="52"/>
      <c r="E589" s="187"/>
      <c r="F589" s="123"/>
      <c r="G589" s="499"/>
      <c r="H589" s="511"/>
      <c r="I589" s="491"/>
      <c r="J589" s="489"/>
    </row>
    <row r="590" spans="1:10" x14ac:dyDescent="0.25">
      <c r="A590" s="404"/>
      <c r="B590" s="432"/>
      <c r="C590" s="433"/>
      <c r="D590" s="432"/>
      <c r="E590" s="285"/>
      <c r="F590" s="431"/>
      <c r="G590" s="496"/>
      <c r="H590" s="511"/>
      <c r="I590" s="491"/>
      <c r="J590" s="489"/>
    </row>
    <row r="591" spans="1:10" ht="26.25" customHeight="1" x14ac:dyDescent="0.25">
      <c r="A591" s="109" t="s">
        <v>1761</v>
      </c>
      <c r="B591" s="51"/>
      <c r="C591" s="50" t="s">
        <v>2209</v>
      </c>
      <c r="D591" s="214" t="s">
        <v>88</v>
      </c>
      <c r="E591" s="187">
        <v>175</v>
      </c>
      <c r="F591" s="123"/>
      <c r="G591" s="476"/>
      <c r="H591" s="510"/>
      <c r="I591" s="490"/>
      <c r="J591" s="342"/>
    </row>
    <row r="592" spans="1:10" x14ac:dyDescent="0.25">
      <c r="A592" s="404"/>
      <c r="B592" s="432"/>
      <c r="C592" s="433"/>
      <c r="D592" s="432"/>
      <c r="E592" s="285"/>
      <c r="F592" s="431"/>
      <c r="G592" s="496"/>
    </row>
    <row r="593" spans="1:7" x14ac:dyDescent="0.25">
      <c r="A593" s="109"/>
      <c r="B593" s="138"/>
      <c r="C593" s="60" t="s">
        <v>2312</v>
      </c>
      <c r="D593" s="52"/>
      <c r="E593" s="187"/>
      <c r="F593" s="123"/>
      <c r="G593" s="495"/>
    </row>
    <row r="594" spans="1:7" x14ac:dyDescent="0.25">
      <c r="A594" s="404"/>
      <c r="B594" s="432"/>
      <c r="C594" s="433"/>
      <c r="D594" s="432"/>
      <c r="E594" s="285"/>
      <c r="F594" s="431"/>
      <c r="G594" s="496"/>
    </row>
    <row r="595" spans="1:7" ht="13.5" x14ac:dyDescent="0.25">
      <c r="A595" s="109" t="s">
        <v>1754</v>
      </c>
      <c r="B595" s="52"/>
      <c r="C595" s="50" t="s">
        <v>291</v>
      </c>
      <c r="D595" s="214" t="s">
        <v>88</v>
      </c>
      <c r="E595" s="187">
        <v>30</v>
      </c>
      <c r="F595" s="123"/>
      <c r="G595" s="476"/>
    </row>
    <row r="596" spans="1:7" x14ac:dyDescent="0.25">
      <c r="A596" s="404"/>
      <c r="B596" s="432"/>
      <c r="C596" s="433"/>
      <c r="D596" s="432"/>
      <c r="E596" s="285"/>
      <c r="F596" s="431"/>
      <c r="G596" s="496"/>
    </row>
    <row r="597" spans="1:7" ht="13.5" x14ac:dyDescent="0.25">
      <c r="A597" s="109" t="s">
        <v>1755</v>
      </c>
      <c r="B597" s="52"/>
      <c r="C597" s="50" t="s">
        <v>290</v>
      </c>
      <c r="D597" s="214" t="s">
        <v>88</v>
      </c>
      <c r="E597" s="187">
        <v>15</v>
      </c>
      <c r="F597" s="123"/>
      <c r="G597" s="476"/>
    </row>
    <row r="598" spans="1:7" x14ac:dyDescent="0.25">
      <c r="A598" s="404"/>
      <c r="B598" s="432"/>
      <c r="C598" s="433"/>
      <c r="D598" s="432"/>
      <c r="E598" s="285"/>
      <c r="F598" s="431"/>
      <c r="G598" s="496"/>
    </row>
    <row r="599" spans="1:7" x14ac:dyDescent="0.25">
      <c r="A599" s="109"/>
      <c r="B599" s="51"/>
      <c r="C599" s="50"/>
      <c r="D599" s="214"/>
      <c r="E599" s="187"/>
      <c r="F599" s="123"/>
      <c r="G599" s="476"/>
    </row>
    <row r="600" spans="1:7" ht="28.5" customHeight="1" x14ac:dyDescent="0.25">
      <c r="A600" s="526" t="s">
        <v>609</v>
      </c>
      <c r="B600" s="526"/>
      <c r="C600" s="526"/>
      <c r="D600" s="526"/>
      <c r="E600" s="526"/>
      <c r="F600" s="526"/>
      <c r="G600" s="330"/>
    </row>
    <row r="601" spans="1:7" ht="28.5" customHeight="1" x14ac:dyDescent="0.25">
      <c r="A601" s="526" t="s">
        <v>610</v>
      </c>
      <c r="B601" s="526"/>
      <c r="C601" s="526"/>
      <c r="D601" s="526"/>
      <c r="E601" s="526"/>
      <c r="F601" s="526"/>
      <c r="G601" s="330"/>
    </row>
    <row r="602" spans="1:7" x14ac:dyDescent="0.25">
      <c r="A602" s="404"/>
      <c r="B602" s="432"/>
      <c r="C602" s="433"/>
      <c r="D602" s="432"/>
      <c r="E602" s="285"/>
      <c r="F602" s="431"/>
      <c r="G602" s="496"/>
    </row>
    <row r="603" spans="1:7" ht="36" x14ac:dyDescent="0.25">
      <c r="A603" s="109" t="s">
        <v>1756</v>
      </c>
      <c r="B603" s="51" t="s">
        <v>83</v>
      </c>
      <c r="C603" s="50" t="s">
        <v>289</v>
      </c>
      <c r="D603" s="214" t="s">
        <v>88</v>
      </c>
      <c r="E603" s="187">
        <v>60</v>
      </c>
      <c r="F603" s="123"/>
      <c r="G603" s="476"/>
    </row>
    <row r="604" spans="1:7" x14ac:dyDescent="0.25">
      <c r="A604" s="404"/>
      <c r="B604" s="432"/>
      <c r="C604" s="433"/>
      <c r="D604" s="432"/>
      <c r="E604" s="285"/>
      <c r="F604" s="431"/>
      <c r="G604" s="496"/>
    </row>
    <row r="605" spans="1:7" ht="24" x14ac:dyDescent="0.25">
      <c r="A605" s="109" t="s">
        <v>1762</v>
      </c>
      <c r="B605" s="51" t="s">
        <v>288</v>
      </c>
      <c r="C605" s="50" t="s">
        <v>287</v>
      </c>
      <c r="D605" s="109" t="s">
        <v>2307</v>
      </c>
      <c r="E605" s="187">
        <v>100</v>
      </c>
      <c r="F605" s="123"/>
      <c r="G605" s="476"/>
    </row>
    <row r="606" spans="1:7" x14ac:dyDescent="0.25">
      <c r="A606" s="404"/>
      <c r="B606" s="432"/>
      <c r="C606" s="433"/>
      <c r="D606" s="432"/>
      <c r="E606" s="285"/>
      <c r="F606" s="431"/>
      <c r="G606" s="496"/>
    </row>
    <row r="607" spans="1:7" ht="36" x14ac:dyDescent="0.25">
      <c r="A607" s="109" t="s">
        <v>1925</v>
      </c>
      <c r="B607" s="51" t="s">
        <v>2213</v>
      </c>
      <c r="C607" s="50" t="s">
        <v>285</v>
      </c>
      <c r="D607" s="109" t="s">
        <v>2307</v>
      </c>
      <c r="E607" s="187">
        <v>100</v>
      </c>
      <c r="F607" s="123"/>
      <c r="G607" s="476"/>
    </row>
    <row r="608" spans="1:7" x14ac:dyDescent="0.25">
      <c r="A608" s="404"/>
      <c r="B608" s="432"/>
      <c r="C608" s="433"/>
      <c r="D608" s="432"/>
      <c r="E608" s="285"/>
      <c r="F608" s="431"/>
      <c r="G608" s="496"/>
    </row>
    <row r="609" spans="1:7" ht="24" x14ac:dyDescent="0.25">
      <c r="A609" s="227" t="s">
        <v>1763</v>
      </c>
      <c r="B609" s="207" t="s">
        <v>627</v>
      </c>
      <c r="C609" s="38" t="s">
        <v>308</v>
      </c>
      <c r="D609" s="210"/>
      <c r="E609" s="219"/>
      <c r="F609" s="123"/>
      <c r="G609" s="209"/>
    </row>
    <row r="610" spans="1:7" x14ac:dyDescent="0.25">
      <c r="A610" s="404"/>
      <c r="B610" s="432"/>
      <c r="C610" s="433"/>
      <c r="D610" s="432"/>
      <c r="E610" s="285"/>
      <c r="F610" s="431"/>
      <c r="G610" s="496"/>
    </row>
    <row r="611" spans="1:7" ht="24" x14ac:dyDescent="0.25">
      <c r="A611" s="108"/>
      <c r="B611" s="153" t="s">
        <v>629</v>
      </c>
      <c r="C611" s="469" t="s">
        <v>2216</v>
      </c>
      <c r="D611" s="52"/>
      <c r="E611" s="187"/>
      <c r="F611" s="123"/>
      <c r="G611" s="499"/>
    </row>
    <row r="612" spans="1:7" x14ac:dyDescent="0.25">
      <c r="A612" s="404"/>
      <c r="B612" s="432"/>
      <c r="C612" s="433"/>
      <c r="D612" s="432"/>
      <c r="E612" s="285"/>
      <c r="F612" s="431"/>
      <c r="G612" s="496"/>
    </row>
    <row r="613" spans="1:7" ht="96" x14ac:dyDescent="0.25">
      <c r="A613" s="109"/>
      <c r="B613" s="66"/>
      <c r="C613" s="67" t="s">
        <v>2314</v>
      </c>
      <c r="D613" s="52"/>
      <c r="E613" s="186"/>
      <c r="F613" s="124"/>
      <c r="G613" s="497"/>
    </row>
    <row r="614" spans="1:7" x14ac:dyDescent="0.25">
      <c r="A614" s="404"/>
      <c r="B614" s="432"/>
      <c r="C614" s="433"/>
      <c r="D614" s="432"/>
      <c r="E614" s="285"/>
      <c r="F614" s="431"/>
      <c r="G614" s="496"/>
    </row>
    <row r="615" spans="1:7" x14ac:dyDescent="0.25">
      <c r="A615" s="109" t="s">
        <v>1764</v>
      </c>
      <c r="B615" s="52"/>
      <c r="C615" s="50" t="s">
        <v>2315</v>
      </c>
      <c r="D615" s="51" t="s">
        <v>6</v>
      </c>
      <c r="E615" s="186">
        <v>5</v>
      </c>
      <c r="F615" s="124"/>
      <c r="G615" s="476"/>
    </row>
    <row r="616" spans="1:7" x14ac:dyDescent="0.25">
      <c r="A616" s="404"/>
      <c r="B616" s="432"/>
      <c r="C616" s="433"/>
      <c r="D616" s="432"/>
      <c r="E616" s="285"/>
      <c r="F616" s="431"/>
      <c r="G616" s="496"/>
    </row>
    <row r="617" spans="1:7" x14ac:dyDescent="0.25">
      <c r="A617" s="109" t="s">
        <v>1765</v>
      </c>
      <c r="B617" s="52"/>
      <c r="C617" s="50" t="s">
        <v>2290</v>
      </c>
      <c r="D617" s="51" t="s">
        <v>6</v>
      </c>
      <c r="E617" s="186">
        <v>35</v>
      </c>
      <c r="F617" s="124"/>
      <c r="G617" s="476"/>
    </row>
    <row r="618" spans="1:7" x14ac:dyDescent="0.25">
      <c r="A618" s="404"/>
      <c r="B618" s="432"/>
      <c r="C618" s="433"/>
      <c r="D618" s="432"/>
      <c r="E618" s="285"/>
      <c r="F618" s="431"/>
      <c r="G618" s="496"/>
    </row>
    <row r="619" spans="1:7" x14ac:dyDescent="0.25">
      <c r="A619" s="109" t="s">
        <v>1766</v>
      </c>
      <c r="B619" s="52"/>
      <c r="C619" s="50" t="s">
        <v>385</v>
      </c>
      <c r="D619" s="51" t="s">
        <v>6</v>
      </c>
      <c r="E619" s="186">
        <v>10</v>
      </c>
      <c r="F619" s="124"/>
      <c r="G619" s="476"/>
    </row>
    <row r="620" spans="1:7" x14ac:dyDescent="0.25">
      <c r="A620" s="404"/>
      <c r="B620" s="432"/>
      <c r="C620" s="433"/>
      <c r="D620" s="432"/>
      <c r="E620" s="285"/>
      <c r="F620" s="431"/>
      <c r="G620" s="496"/>
    </row>
    <row r="621" spans="1:7" ht="96" x14ac:dyDescent="0.25">
      <c r="A621" s="109"/>
      <c r="B621" s="51"/>
      <c r="C621" s="67" t="s">
        <v>2215</v>
      </c>
      <c r="D621" s="52"/>
      <c r="E621" s="186"/>
      <c r="F621" s="124"/>
      <c r="G621" s="497"/>
    </row>
    <row r="622" spans="1:7" x14ac:dyDescent="0.25">
      <c r="A622" s="404"/>
      <c r="B622" s="432"/>
      <c r="C622" s="433"/>
      <c r="D622" s="432"/>
      <c r="E622" s="285"/>
      <c r="F622" s="431"/>
      <c r="G622" s="496"/>
    </row>
    <row r="623" spans="1:7" x14ac:dyDescent="0.25">
      <c r="A623" s="109" t="s">
        <v>1767</v>
      </c>
      <c r="B623" s="52"/>
      <c r="C623" s="50" t="s">
        <v>2290</v>
      </c>
      <c r="D623" s="51" t="s">
        <v>6</v>
      </c>
      <c r="E623" s="186">
        <v>5</v>
      </c>
      <c r="F623" s="124"/>
      <c r="G623" s="476"/>
    </row>
    <row r="624" spans="1:7" x14ac:dyDescent="0.25">
      <c r="A624" s="404"/>
      <c r="B624" s="432"/>
      <c r="C624" s="433"/>
      <c r="D624" s="432"/>
      <c r="E624" s="285"/>
      <c r="F624" s="431"/>
      <c r="G624" s="496"/>
    </row>
    <row r="625" spans="1:7" x14ac:dyDescent="0.25">
      <c r="A625" s="109"/>
      <c r="B625" s="66"/>
      <c r="C625" s="67" t="s">
        <v>2316</v>
      </c>
      <c r="D625" s="52"/>
      <c r="E625" s="186"/>
      <c r="F625" s="124"/>
      <c r="G625" s="497"/>
    </row>
    <row r="626" spans="1:7" x14ac:dyDescent="0.25">
      <c r="A626" s="404"/>
      <c r="B626" s="432"/>
      <c r="C626" s="433"/>
      <c r="D626" s="432"/>
      <c r="E626" s="285"/>
      <c r="F626" s="431"/>
      <c r="G626" s="496"/>
    </row>
    <row r="627" spans="1:7" ht="13.5" x14ac:dyDescent="0.25">
      <c r="A627" s="109" t="s">
        <v>1926</v>
      </c>
      <c r="B627" s="52"/>
      <c r="C627" s="50" t="s">
        <v>304</v>
      </c>
      <c r="D627" s="214" t="s">
        <v>88</v>
      </c>
      <c r="E627" s="186">
        <v>20</v>
      </c>
      <c r="F627" s="124"/>
      <c r="G627" s="476"/>
    </row>
    <row r="628" spans="1:7" x14ac:dyDescent="0.25">
      <c r="A628" s="404"/>
      <c r="B628" s="432"/>
      <c r="C628" s="433"/>
      <c r="D628" s="432"/>
      <c r="E628" s="285"/>
      <c r="F628" s="431"/>
      <c r="G628" s="496"/>
    </row>
    <row r="629" spans="1:7" ht="13.5" x14ac:dyDescent="0.25">
      <c r="A629" s="109" t="s">
        <v>1927</v>
      </c>
      <c r="B629" s="52"/>
      <c r="C629" s="50" t="s">
        <v>290</v>
      </c>
      <c r="D629" s="214" t="s">
        <v>88</v>
      </c>
      <c r="E629" s="186">
        <v>5</v>
      </c>
      <c r="F629" s="124"/>
      <c r="G629" s="476"/>
    </row>
    <row r="630" spans="1:7" x14ac:dyDescent="0.25">
      <c r="A630" s="404"/>
      <c r="B630" s="432"/>
      <c r="C630" s="433"/>
      <c r="D630" s="432"/>
      <c r="E630" s="285"/>
      <c r="F630" s="431"/>
      <c r="G630" s="496"/>
    </row>
    <row r="631" spans="1:7" ht="13.5" x14ac:dyDescent="0.25">
      <c r="A631" s="109" t="s">
        <v>1928</v>
      </c>
      <c r="B631" s="52"/>
      <c r="C631" s="50" t="s">
        <v>303</v>
      </c>
      <c r="D631" s="214" t="s">
        <v>88</v>
      </c>
      <c r="E631" s="186">
        <v>5</v>
      </c>
      <c r="F631" s="124"/>
      <c r="G631" s="476"/>
    </row>
    <row r="632" spans="1:7" x14ac:dyDescent="0.25">
      <c r="A632" s="404"/>
      <c r="B632" s="432"/>
      <c r="C632" s="433"/>
      <c r="D632" s="432"/>
      <c r="E632" s="285"/>
      <c r="F632" s="431"/>
      <c r="G632" s="496"/>
    </row>
    <row r="633" spans="1:7" x14ac:dyDescent="0.25">
      <c r="A633" s="109"/>
      <c r="B633" s="51"/>
      <c r="C633" s="50"/>
      <c r="D633" s="51"/>
      <c r="E633" s="186"/>
      <c r="F633" s="124"/>
      <c r="G633" s="476"/>
    </row>
    <row r="634" spans="1:7" ht="28.5" customHeight="1" x14ac:dyDescent="0.25">
      <c r="A634" s="526" t="s">
        <v>609</v>
      </c>
      <c r="B634" s="526"/>
      <c r="C634" s="526"/>
      <c r="D634" s="526"/>
      <c r="E634" s="526"/>
      <c r="F634" s="526"/>
      <c r="G634" s="330"/>
    </row>
    <row r="635" spans="1:7" ht="28.5" customHeight="1" x14ac:dyDescent="0.25">
      <c r="A635" s="526" t="s">
        <v>610</v>
      </c>
      <c r="B635" s="526"/>
      <c r="C635" s="526"/>
      <c r="D635" s="526"/>
      <c r="E635" s="526"/>
      <c r="F635" s="526"/>
      <c r="G635" s="330"/>
    </row>
    <row r="636" spans="1:7" x14ac:dyDescent="0.25">
      <c r="A636" s="404"/>
      <c r="B636" s="432"/>
      <c r="C636" s="433"/>
      <c r="D636" s="432"/>
      <c r="E636" s="285"/>
      <c r="F636" s="431"/>
      <c r="G636" s="496"/>
    </row>
    <row r="637" spans="1:7" ht="24" x14ac:dyDescent="0.25">
      <c r="A637" s="109" t="s">
        <v>1929</v>
      </c>
      <c r="B637" s="51" t="s">
        <v>11</v>
      </c>
      <c r="C637" s="50" t="s">
        <v>302</v>
      </c>
      <c r="D637" s="214" t="s">
        <v>88</v>
      </c>
      <c r="E637" s="186">
        <v>10</v>
      </c>
      <c r="F637" s="124"/>
      <c r="G637" s="476"/>
    </row>
    <row r="638" spans="1:7" x14ac:dyDescent="0.25">
      <c r="A638" s="404"/>
      <c r="B638" s="432"/>
      <c r="C638" s="433"/>
      <c r="D638" s="432"/>
      <c r="E638" s="285"/>
      <c r="F638" s="431"/>
      <c r="G638" s="496"/>
    </row>
    <row r="639" spans="1:7" x14ac:dyDescent="0.25">
      <c r="A639" s="340"/>
      <c r="B639" s="138" t="s">
        <v>18</v>
      </c>
      <c r="C639" s="60" t="s">
        <v>2317</v>
      </c>
      <c r="D639" s="52"/>
      <c r="E639" s="186"/>
      <c r="F639" s="124"/>
      <c r="G639" s="497"/>
    </row>
    <row r="640" spans="1:7" x14ac:dyDescent="0.25">
      <c r="A640" s="404"/>
      <c r="B640" s="432"/>
      <c r="C640" s="433"/>
      <c r="D640" s="432"/>
      <c r="E640" s="285"/>
      <c r="F640" s="431"/>
      <c r="G640" s="496"/>
    </row>
    <row r="641" spans="1:7" x14ac:dyDescent="0.25">
      <c r="A641" s="109"/>
      <c r="B641" s="66" t="s">
        <v>156</v>
      </c>
      <c r="C641" s="67" t="s">
        <v>19</v>
      </c>
      <c r="D641" s="52"/>
      <c r="E641" s="186"/>
      <c r="F641" s="124"/>
      <c r="G641" s="497"/>
    </row>
    <row r="642" spans="1:7" x14ac:dyDescent="0.25">
      <c r="A642" s="404"/>
      <c r="B642" s="432"/>
      <c r="C642" s="433"/>
      <c r="D642" s="432"/>
      <c r="E642" s="285"/>
      <c r="F642" s="431"/>
      <c r="G642" s="496"/>
    </row>
    <row r="643" spans="1:7" ht="36" x14ac:dyDescent="0.25">
      <c r="A643" s="109" t="s">
        <v>1930</v>
      </c>
      <c r="B643" s="52"/>
      <c r="C643" s="50" t="s">
        <v>301</v>
      </c>
      <c r="D643" s="214" t="s">
        <v>88</v>
      </c>
      <c r="E643" s="186">
        <v>60</v>
      </c>
      <c r="F643" s="124"/>
      <c r="G643" s="476"/>
    </row>
    <row r="644" spans="1:7" x14ac:dyDescent="0.25">
      <c r="A644" s="404"/>
      <c r="B644" s="432"/>
      <c r="C644" s="433"/>
      <c r="D644" s="432"/>
      <c r="E644" s="285"/>
      <c r="F644" s="431"/>
      <c r="G644" s="496"/>
    </row>
    <row r="645" spans="1:7" x14ac:dyDescent="0.25">
      <c r="A645" s="109"/>
      <c r="B645" s="207" t="s">
        <v>16</v>
      </c>
      <c r="C645" s="38" t="s">
        <v>17</v>
      </c>
      <c r="D645" s="207"/>
      <c r="E645" s="208"/>
      <c r="F645" s="123"/>
      <c r="G645" s="209"/>
    </row>
    <row r="646" spans="1:7" x14ac:dyDescent="0.25">
      <c r="A646" s="404"/>
      <c r="B646" s="432"/>
      <c r="C646" s="433"/>
      <c r="D646" s="432"/>
      <c r="E646" s="285"/>
      <c r="F646" s="431"/>
      <c r="G646" s="496"/>
    </row>
    <row r="647" spans="1:7" ht="24" x14ac:dyDescent="0.25">
      <c r="A647" s="109" t="s">
        <v>1931</v>
      </c>
      <c r="B647" s="210" t="s">
        <v>161</v>
      </c>
      <c r="C647" s="119" t="s">
        <v>2318</v>
      </c>
      <c r="D647" s="142" t="s">
        <v>6</v>
      </c>
      <c r="E647" s="219">
        <v>10</v>
      </c>
      <c r="F647" s="123"/>
      <c r="G647" s="476"/>
    </row>
    <row r="648" spans="1:7" x14ac:dyDescent="0.25">
      <c r="A648" s="404"/>
      <c r="B648" s="432"/>
      <c r="C648" s="433"/>
      <c r="D648" s="432"/>
      <c r="E648" s="285"/>
      <c r="F648" s="431"/>
      <c r="G648" s="496"/>
    </row>
    <row r="649" spans="1:7" x14ac:dyDescent="0.25">
      <c r="A649" s="109"/>
      <c r="B649" s="207" t="s">
        <v>10</v>
      </c>
      <c r="C649" s="38" t="s">
        <v>215</v>
      </c>
      <c r="D649" s="142"/>
      <c r="E649" s="211"/>
      <c r="F649" s="123"/>
      <c r="G649" s="209"/>
    </row>
    <row r="650" spans="1:7" x14ac:dyDescent="0.25">
      <c r="A650" s="404"/>
      <c r="B650" s="432"/>
      <c r="C650" s="433"/>
      <c r="D650" s="432"/>
      <c r="E650" s="285"/>
      <c r="F650" s="431"/>
      <c r="G650" s="496"/>
    </row>
    <row r="651" spans="1:7" x14ac:dyDescent="0.25">
      <c r="A651" s="109"/>
      <c r="B651" s="210"/>
      <c r="C651" s="212" t="s">
        <v>641</v>
      </c>
      <c r="D651" s="142"/>
      <c r="E651" s="211"/>
      <c r="F651" s="123"/>
      <c r="G651" s="209"/>
    </row>
    <row r="652" spans="1:7" x14ac:dyDescent="0.25">
      <c r="A652" s="404"/>
      <c r="B652" s="432"/>
      <c r="C652" s="433"/>
      <c r="D652" s="432"/>
      <c r="E652" s="285"/>
      <c r="F652" s="431"/>
      <c r="G652" s="496"/>
    </row>
    <row r="653" spans="1:7" ht="24" x14ac:dyDescent="0.25">
      <c r="A653" s="109" t="s">
        <v>1932</v>
      </c>
      <c r="B653" s="210"/>
      <c r="C653" s="119" t="s">
        <v>363</v>
      </c>
      <c r="D653" s="142" t="s">
        <v>8</v>
      </c>
      <c r="E653" s="187">
        <v>3</v>
      </c>
      <c r="F653" s="123"/>
      <c r="G653" s="476"/>
    </row>
    <row r="654" spans="1:7" x14ac:dyDescent="0.25">
      <c r="A654" s="404"/>
      <c r="B654" s="432"/>
      <c r="C654" s="433"/>
      <c r="D654" s="432"/>
      <c r="E654" s="285"/>
      <c r="F654" s="431"/>
      <c r="G654" s="496"/>
    </row>
    <row r="655" spans="1:7" ht="24" x14ac:dyDescent="0.25">
      <c r="A655" s="109" t="s">
        <v>1933</v>
      </c>
      <c r="B655" s="210"/>
      <c r="C655" s="119" t="s">
        <v>364</v>
      </c>
      <c r="D655" s="142" t="s">
        <v>8</v>
      </c>
      <c r="E655" s="187">
        <v>2</v>
      </c>
      <c r="F655" s="123"/>
      <c r="G655" s="476"/>
    </row>
    <row r="656" spans="1:7" x14ac:dyDescent="0.25">
      <c r="A656" s="404"/>
      <c r="B656" s="432"/>
      <c r="C656" s="433"/>
      <c r="D656" s="432"/>
      <c r="E656" s="285"/>
      <c r="F656" s="431"/>
      <c r="G656" s="496"/>
    </row>
    <row r="657" spans="1:7" x14ac:dyDescent="0.25">
      <c r="A657" s="109"/>
      <c r="B657" s="210"/>
      <c r="C657" s="212" t="s">
        <v>643</v>
      </c>
      <c r="D657" s="142"/>
      <c r="E657" s="211"/>
      <c r="F657" s="123"/>
      <c r="G657" s="209"/>
    </row>
    <row r="658" spans="1:7" x14ac:dyDescent="0.25">
      <c r="A658" s="404"/>
      <c r="B658" s="432"/>
      <c r="C658" s="433"/>
      <c r="D658" s="432"/>
      <c r="E658" s="285"/>
      <c r="F658" s="431"/>
      <c r="G658" s="496"/>
    </row>
    <row r="659" spans="1:7" ht="24" x14ac:dyDescent="0.25">
      <c r="A659" s="109" t="s">
        <v>1934</v>
      </c>
      <c r="B659" s="210"/>
      <c r="C659" s="119" t="s">
        <v>363</v>
      </c>
      <c r="D659" s="142" t="s">
        <v>6</v>
      </c>
      <c r="E659" s="187">
        <v>20</v>
      </c>
      <c r="F659" s="125"/>
      <c r="G659" s="476"/>
    </row>
    <row r="660" spans="1:7" x14ac:dyDescent="0.25">
      <c r="A660" s="404"/>
      <c r="B660" s="432"/>
      <c r="C660" s="433"/>
      <c r="D660" s="432"/>
      <c r="E660" s="285"/>
      <c r="F660" s="431"/>
      <c r="G660" s="496"/>
    </row>
    <row r="661" spans="1:7" ht="24" x14ac:dyDescent="0.25">
      <c r="A661" s="340" t="s">
        <v>1768</v>
      </c>
      <c r="B661" s="138" t="s">
        <v>284</v>
      </c>
      <c r="C661" s="60" t="s">
        <v>283</v>
      </c>
      <c r="D661" s="52"/>
      <c r="E661" s="186"/>
      <c r="F661" s="124"/>
      <c r="G661" s="497"/>
    </row>
    <row r="662" spans="1:7" x14ac:dyDescent="0.25">
      <c r="A662" s="404"/>
      <c r="B662" s="432"/>
      <c r="C662" s="433"/>
      <c r="D662" s="432"/>
      <c r="E662" s="285"/>
      <c r="F662" s="431"/>
      <c r="G662" s="496"/>
    </row>
    <row r="663" spans="1:7" ht="24" x14ac:dyDescent="0.25">
      <c r="A663" s="109" t="s">
        <v>1769</v>
      </c>
      <c r="B663" s="52"/>
      <c r="C663" s="50" t="s">
        <v>282</v>
      </c>
      <c r="D663" s="109" t="s">
        <v>2307</v>
      </c>
      <c r="E663" s="186">
        <v>15</v>
      </c>
      <c r="F663" s="124"/>
      <c r="G663" s="476"/>
    </row>
    <row r="664" spans="1:7" x14ac:dyDescent="0.25">
      <c r="A664" s="404"/>
      <c r="B664" s="432"/>
      <c r="C664" s="433"/>
      <c r="D664" s="432"/>
      <c r="E664" s="285"/>
      <c r="F664" s="431"/>
      <c r="G664" s="496"/>
    </row>
    <row r="665" spans="1:7" ht="60" x14ac:dyDescent="0.25">
      <c r="A665" s="109"/>
      <c r="B665" s="51" t="s">
        <v>7</v>
      </c>
      <c r="C665" s="50" t="s">
        <v>281</v>
      </c>
      <c r="D665" s="52"/>
      <c r="E665" s="186"/>
      <c r="F665" s="124"/>
      <c r="G665" s="497"/>
    </row>
    <row r="666" spans="1:7" x14ac:dyDescent="0.25">
      <c r="A666" s="404"/>
      <c r="B666" s="432"/>
      <c r="C666" s="433"/>
      <c r="D666" s="432"/>
      <c r="E666" s="285"/>
      <c r="F666" s="431"/>
      <c r="G666" s="496"/>
    </row>
    <row r="667" spans="1:7" ht="13.5" x14ac:dyDescent="0.25">
      <c r="A667" s="109" t="s">
        <v>1770</v>
      </c>
      <c r="B667" s="52"/>
      <c r="C667" s="50" t="s">
        <v>280</v>
      </c>
      <c r="D667" s="214" t="s">
        <v>88</v>
      </c>
      <c r="E667" s="186">
        <v>45</v>
      </c>
      <c r="F667" s="124"/>
      <c r="G667" s="476"/>
    </row>
    <row r="668" spans="1:7" x14ac:dyDescent="0.25">
      <c r="A668" s="404"/>
      <c r="B668" s="432"/>
      <c r="C668" s="433"/>
      <c r="D668" s="432"/>
      <c r="E668" s="285"/>
      <c r="F668" s="431"/>
      <c r="G668" s="496"/>
    </row>
    <row r="669" spans="1:7" ht="13.5" x14ac:dyDescent="0.25">
      <c r="A669" s="109" t="s">
        <v>1771</v>
      </c>
      <c r="B669" s="52"/>
      <c r="C669" s="50" t="s">
        <v>279</v>
      </c>
      <c r="D669" s="214" t="s">
        <v>88</v>
      </c>
      <c r="E669" s="186">
        <v>60</v>
      </c>
      <c r="F669" s="124"/>
      <c r="G669" s="476"/>
    </row>
    <row r="670" spans="1:7" x14ac:dyDescent="0.25">
      <c r="A670" s="404"/>
      <c r="B670" s="432"/>
      <c r="C670" s="433"/>
      <c r="D670" s="432"/>
      <c r="E670" s="285"/>
      <c r="F670" s="431"/>
      <c r="G670" s="496"/>
    </row>
    <row r="671" spans="1:7" ht="13.5" x14ac:dyDescent="0.25">
      <c r="A671" s="109" t="s">
        <v>1772</v>
      </c>
      <c r="B671" s="52"/>
      <c r="C671" s="50" t="s">
        <v>278</v>
      </c>
      <c r="D671" s="214" t="s">
        <v>88</v>
      </c>
      <c r="E671" s="186">
        <v>30</v>
      </c>
      <c r="F671" s="124"/>
      <c r="G671" s="476"/>
    </row>
    <row r="672" spans="1:7" x14ac:dyDescent="0.25">
      <c r="A672" s="404"/>
      <c r="B672" s="432"/>
      <c r="C672" s="433"/>
      <c r="D672" s="432"/>
      <c r="E672" s="285"/>
      <c r="F672" s="431"/>
      <c r="G672" s="496"/>
    </row>
    <row r="673" spans="1:7" ht="13.5" x14ac:dyDescent="0.25">
      <c r="A673" s="109" t="s">
        <v>1935</v>
      </c>
      <c r="B673" s="51" t="s">
        <v>205</v>
      </c>
      <c r="C673" s="50" t="s">
        <v>275</v>
      </c>
      <c r="D673" s="109" t="s">
        <v>2307</v>
      </c>
      <c r="E673" s="186">
        <v>150</v>
      </c>
      <c r="F673" s="124"/>
      <c r="G673" s="476"/>
    </row>
    <row r="674" spans="1:7" x14ac:dyDescent="0.25">
      <c r="A674" s="434"/>
      <c r="B674" s="435"/>
      <c r="C674" s="436"/>
      <c r="D674" s="435"/>
      <c r="E674" s="466"/>
      <c r="F674" s="470"/>
      <c r="G674" s="501"/>
    </row>
    <row r="675" spans="1:7" x14ac:dyDescent="0.25">
      <c r="A675" s="109"/>
      <c r="B675" s="51"/>
      <c r="C675" s="50"/>
      <c r="D675" s="51"/>
      <c r="E675" s="186"/>
      <c r="F675" s="124"/>
      <c r="G675" s="476"/>
    </row>
    <row r="676" spans="1:7" ht="28.5" customHeight="1" x14ac:dyDescent="0.25">
      <c r="A676" s="526" t="s">
        <v>609</v>
      </c>
      <c r="B676" s="526"/>
      <c r="C676" s="526"/>
      <c r="D676" s="526"/>
      <c r="E676" s="526"/>
      <c r="F676" s="526"/>
      <c r="G676" s="330"/>
    </row>
    <row r="677" spans="1:7" ht="28.5" customHeight="1" x14ac:dyDescent="0.25">
      <c r="A677" s="526" t="s">
        <v>610</v>
      </c>
      <c r="B677" s="526"/>
      <c r="C677" s="526"/>
      <c r="D677" s="526"/>
      <c r="E677" s="526"/>
      <c r="F677" s="526"/>
      <c r="G677" s="330"/>
    </row>
    <row r="678" spans="1:7" x14ac:dyDescent="0.25">
      <c r="A678" s="404"/>
      <c r="B678" s="432"/>
      <c r="C678" s="433"/>
      <c r="D678" s="432"/>
      <c r="E678" s="285"/>
      <c r="F678" s="431"/>
      <c r="G678" s="496"/>
    </row>
    <row r="679" spans="1:7" ht="36" x14ac:dyDescent="0.25">
      <c r="A679" s="109" t="s">
        <v>1935</v>
      </c>
      <c r="B679" s="51" t="s">
        <v>13</v>
      </c>
      <c r="C679" s="50" t="s">
        <v>274</v>
      </c>
      <c r="D679" s="109" t="s">
        <v>2307</v>
      </c>
      <c r="E679" s="186">
        <v>20</v>
      </c>
      <c r="F679" s="124"/>
      <c r="G679" s="476"/>
    </row>
    <row r="680" spans="1:7" x14ac:dyDescent="0.25">
      <c r="A680" s="404"/>
      <c r="B680" s="432"/>
      <c r="C680" s="433"/>
      <c r="D680" s="432"/>
      <c r="E680" s="285"/>
      <c r="F680" s="431"/>
      <c r="G680" s="496"/>
    </row>
    <row r="681" spans="1:7" ht="24" x14ac:dyDescent="0.25">
      <c r="A681" s="340" t="s">
        <v>1936</v>
      </c>
      <c r="B681" s="51"/>
      <c r="C681" s="60" t="s">
        <v>2218</v>
      </c>
      <c r="D681" s="214"/>
      <c r="E681" s="186"/>
      <c r="F681" s="124"/>
      <c r="G681" s="476"/>
    </row>
    <row r="682" spans="1:7" x14ac:dyDescent="0.25">
      <c r="A682" s="434"/>
      <c r="B682" s="435"/>
      <c r="C682" s="436"/>
      <c r="D682" s="251"/>
      <c r="E682" s="466"/>
      <c r="F682" s="470"/>
      <c r="G682" s="501"/>
    </row>
    <row r="683" spans="1:7" ht="13.5" x14ac:dyDescent="0.25">
      <c r="A683" s="109" t="s">
        <v>2319</v>
      </c>
      <c r="B683" s="51"/>
      <c r="C683" s="50" t="s">
        <v>1087</v>
      </c>
      <c r="D683" s="142" t="s">
        <v>87</v>
      </c>
      <c r="E683" s="186">
        <v>20</v>
      </c>
      <c r="F683" s="124"/>
      <c r="G683" s="476"/>
    </row>
    <row r="684" spans="1:7" x14ac:dyDescent="0.25">
      <c r="A684" s="434"/>
      <c r="B684" s="435"/>
      <c r="C684" s="436"/>
      <c r="D684" s="251"/>
      <c r="E684" s="466"/>
      <c r="F684" s="470"/>
      <c r="G684" s="501"/>
    </row>
    <row r="685" spans="1:7" ht="13.5" x14ac:dyDescent="0.25">
      <c r="A685" s="109" t="s">
        <v>2320</v>
      </c>
      <c r="B685" s="51"/>
      <c r="C685" s="50" t="s">
        <v>2219</v>
      </c>
      <c r="D685" s="214" t="s">
        <v>88</v>
      </c>
      <c r="E685" s="186">
        <v>5</v>
      </c>
      <c r="F685" s="124"/>
      <c r="G685" s="476"/>
    </row>
    <row r="686" spans="1:7" x14ac:dyDescent="0.25">
      <c r="A686" s="404"/>
      <c r="B686" s="432"/>
      <c r="C686" s="433"/>
      <c r="D686" s="432"/>
      <c r="E686" s="285"/>
      <c r="F686" s="431"/>
      <c r="G686" s="496"/>
    </row>
    <row r="687" spans="1:7" ht="24" x14ac:dyDescent="0.25">
      <c r="A687" s="340" t="s">
        <v>1773</v>
      </c>
      <c r="B687" s="138" t="s">
        <v>362</v>
      </c>
      <c r="C687" s="60" t="s">
        <v>361</v>
      </c>
      <c r="D687" s="51"/>
      <c r="E687" s="186"/>
      <c r="F687" s="124"/>
      <c r="G687" s="476"/>
    </row>
    <row r="688" spans="1:7" x14ac:dyDescent="0.25">
      <c r="A688" s="404"/>
      <c r="B688" s="432"/>
      <c r="C688" s="433"/>
      <c r="D688" s="432"/>
      <c r="E688" s="285"/>
      <c r="F688" s="431"/>
      <c r="G688" s="496"/>
    </row>
    <row r="689" spans="1:8" x14ac:dyDescent="0.25">
      <c r="A689" s="109"/>
      <c r="B689" s="138" t="s">
        <v>360</v>
      </c>
      <c r="C689" s="60" t="s">
        <v>359</v>
      </c>
      <c r="D689" s="51"/>
      <c r="E689" s="186"/>
      <c r="F689" s="125"/>
      <c r="G689" s="494"/>
    </row>
    <row r="690" spans="1:8" x14ac:dyDescent="0.25">
      <c r="A690" s="404"/>
      <c r="B690" s="432"/>
      <c r="C690" s="433"/>
      <c r="D690" s="432"/>
      <c r="E690" s="285"/>
      <c r="F690" s="431"/>
      <c r="G690" s="496"/>
    </row>
    <row r="691" spans="1:8" ht="13.5" x14ac:dyDescent="0.25">
      <c r="A691" s="109" t="s">
        <v>1774</v>
      </c>
      <c r="B691" s="51"/>
      <c r="C691" s="50" t="s">
        <v>358</v>
      </c>
      <c r="D691" s="214" t="s">
        <v>88</v>
      </c>
      <c r="E691" s="186">
        <v>6</v>
      </c>
      <c r="F691" s="125"/>
      <c r="G691" s="476"/>
    </row>
    <row r="692" spans="1:8" x14ac:dyDescent="0.25">
      <c r="A692" s="404"/>
      <c r="B692" s="432"/>
      <c r="C692" s="433"/>
      <c r="D692" s="432"/>
      <c r="E692" s="285"/>
      <c r="F692" s="431"/>
      <c r="G692" s="496"/>
    </row>
    <row r="693" spans="1:8" x14ac:dyDescent="0.25">
      <c r="A693" s="109"/>
      <c r="B693" s="138" t="s">
        <v>357</v>
      </c>
      <c r="C693" s="60" t="s">
        <v>356</v>
      </c>
      <c r="D693" s="51"/>
      <c r="E693" s="186"/>
      <c r="F693" s="125"/>
      <c r="G693" s="494"/>
    </row>
    <row r="694" spans="1:8" x14ac:dyDescent="0.25">
      <c r="A694" s="404"/>
      <c r="B694" s="432"/>
      <c r="C694" s="433"/>
      <c r="D694" s="432"/>
      <c r="E694" s="285"/>
      <c r="F694" s="431"/>
      <c r="G694" s="496"/>
    </row>
    <row r="695" spans="1:8" ht="24" x14ac:dyDescent="0.25">
      <c r="A695" s="109" t="s">
        <v>1775</v>
      </c>
      <c r="B695" s="51"/>
      <c r="C695" s="50" t="s">
        <v>355</v>
      </c>
      <c r="D695" s="109" t="s">
        <v>2307</v>
      </c>
      <c r="E695" s="186">
        <v>20</v>
      </c>
      <c r="F695" s="125"/>
      <c r="G695" s="476"/>
    </row>
    <row r="696" spans="1:8" x14ac:dyDescent="0.25">
      <c r="A696" s="404"/>
      <c r="B696" s="432"/>
      <c r="C696" s="433"/>
      <c r="D696" s="432"/>
      <c r="E696" s="285"/>
      <c r="F696" s="431"/>
      <c r="G696" s="496"/>
    </row>
    <row r="697" spans="1:8" ht="36" x14ac:dyDescent="0.25">
      <c r="A697" s="109" t="s">
        <v>1776</v>
      </c>
      <c r="B697" s="51" t="s">
        <v>2213</v>
      </c>
      <c r="C697" s="50" t="s">
        <v>354</v>
      </c>
      <c r="D697" s="109" t="s">
        <v>2307</v>
      </c>
      <c r="E697" s="186">
        <v>20</v>
      </c>
      <c r="F697" s="125"/>
      <c r="G697" s="476"/>
    </row>
    <row r="698" spans="1:8" x14ac:dyDescent="0.25">
      <c r="A698" s="404"/>
      <c r="B698" s="432"/>
      <c r="C698" s="433"/>
      <c r="D698" s="432"/>
      <c r="E698" s="285"/>
      <c r="F698" s="431"/>
      <c r="G698" s="496"/>
    </row>
    <row r="699" spans="1:8" x14ac:dyDescent="0.25">
      <c r="A699" s="109"/>
      <c r="B699" s="138" t="s">
        <v>353</v>
      </c>
      <c r="C699" s="60" t="s">
        <v>352</v>
      </c>
      <c r="D699" s="51"/>
      <c r="E699" s="186"/>
      <c r="F699" s="125"/>
      <c r="G699" s="494"/>
    </row>
    <row r="700" spans="1:8" x14ac:dyDescent="0.25">
      <c r="A700" s="404"/>
      <c r="B700" s="432"/>
      <c r="C700" s="433"/>
      <c r="D700" s="432"/>
      <c r="E700" s="285"/>
      <c r="F700" s="431"/>
      <c r="G700" s="496"/>
    </row>
    <row r="701" spans="1:8" ht="48" x14ac:dyDescent="0.25">
      <c r="A701" s="109" t="s">
        <v>1777</v>
      </c>
      <c r="B701" s="51"/>
      <c r="C701" s="50" t="s">
        <v>351</v>
      </c>
      <c r="D701" s="214" t="s">
        <v>88</v>
      </c>
      <c r="E701" s="186">
        <v>2</v>
      </c>
      <c r="F701" s="125"/>
      <c r="G701" s="476"/>
    </row>
    <row r="702" spans="1:8" x14ac:dyDescent="0.25">
      <c r="A702" s="404"/>
      <c r="B702" s="432"/>
      <c r="C702" s="433"/>
      <c r="D702" s="432"/>
      <c r="E702" s="285"/>
      <c r="F702" s="431"/>
      <c r="G702" s="496"/>
    </row>
    <row r="703" spans="1:8" ht="48" x14ac:dyDescent="0.25">
      <c r="A703" s="108" t="s">
        <v>1778</v>
      </c>
      <c r="B703" s="52"/>
      <c r="C703" s="50" t="s">
        <v>350</v>
      </c>
      <c r="D703" s="214" t="s">
        <v>88</v>
      </c>
      <c r="E703" s="186">
        <v>2</v>
      </c>
      <c r="F703" s="125"/>
      <c r="G703" s="476"/>
    </row>
    <row r="704" spans="1:8" s="225" customFormat="1" ht="12" customHeight="1" x14ac:dyDescent="0.25">
      <c r="A704" s="404"/>
      <c r="B704" s="432"/>
      <c r="C704" s="433"/>
      <c r="D704" s="432"/>
      <c r="E704" s="285"/>
      <c r="F704" s="431"/>
      <c r="G704" s="496"/>
      <c r="H704" s="506"/>
    </row>
    <row r="705" spans="1:8" s="225" customFormat="1" ht="24" x14ac:dyDescent="0.25">
      <c r="A705" s="341" t="s">
        <v>1779</v>
      </c>
      <c r="B705" s="227" t="s">
        <v>148</v>
      </c>
      <c r="C705" s="344" t="s">
        <v>93</v>
      </c>
      <c r="D705" s="249"/>
      <c r="E705" s="223"/>
      <c r="F705" s="131"/>
      <c r="G705" s="502"/>
      <c r="H705" s="506"/>
    </row>
    <row r="706" spans="1:8" s="225" customFormat="1" ht="12" customHeight="1" x14ac:dyDescent="0.25">
      <c r="A706" s="404"/>
      <c r="B706" s="432"/>
      <c r="C706" s="433"/>
      <c r="D706" s="432"/>
      <c r="E706" s="285"/>
      <c r="F706" s="431"/>
      <c r="G706" s="496"/>
      <c r="H706" s="506"/>
    </row>
    <row r="707" spans="1:8" s="225" customFormat="1" ht="12" customHeight="1" x14ac:dyDescent="0.25">
      <c r="A707" s="108"/>
      <c r="B707" s="153">
        <v>8.1999999999999993</v>
      </c>
      <c r="C707" s="469" t="s">
        <v>149</v>
      </c>
      <c r="D707" s="52"/>
      <c r="E707" s="187"/>
      <c r="F707" s="123"/>
      <c r="G707" s="499"/>
      <c r="H707" s="506"/>
    </row>
    <row r="708" spans="1:8" s="225" customFormat="1" ht="12" customHeight="1" x14ac:dyDescent="0.25">
      <c r="A708" s="404"/>
      <c r="B708" s="432"/>
      <c r="C708" s="433"/>
      <c r="D708" s="432"/>
      <c r="E708" s="285"/>
      <c r="F708" s="431"/>
      <c r="G708" s="496"/>
      <c r="H708" s="506"/>
    </row>
    <row r="709" spans="1:8" s="225" customFormat="1" ht="12" customHeight="1" x14ac:dyDescent="0.25">
      <c r="A709" s="108"/>
      <c r="B709" s="52"/>
      <c r="C709" s="245" t="s">
        <v>172</v>
      </c>
      <c r="D709" s="52"/>
      <c r="E709" s="187"/>
      <c r="F709" s="123"/>
      <c r="G709" s="499"/>
      <c r="H709" s="506"/>
    </row>
    <row r="710" spans="1:8" s="225" customFormat="1" ht="12" customHeight="1" x14ac:dyDescent="0.25">
      <c r="A710" s="404"/>
      <c r="B710" s="432"/>
      <c r="C710" s="433"/>
      <c r="D710" s="432"/>
      <c r="E710" s="285"/>
      <c r="F710" s="431"/>
      <c r="G710" s="496"/>
      <c r="H710" s="506"/>
    </row>
    <row r="711" spans="1:8" s="225" customFormat="1" ht="24" x14ac:dyDescent="0.25">
      <c r="A711" s="108" t="s">
        <v>1780</v>
      </c>
      <c r="B711" s="51" t="s">
        <v>5</v>
      </c>
      <c r="C711" s="50" t="s">
        <v>2321</v>
      </c>
      <c r="D711" s="109" t="s">
        <v>2307</v>
      </c>
      <c r="E711" s="186">
        <v>10</v>
      </c>
      <c r="F711" s="125"/>
      <c r="G711" s="476"/>
      <c r="H711" s="506"/>
    </row>
    <row r="712" spans="1:8" s="225" customFormat="1" ht="12" customHeight="1" x14ac:dyDescent="0.25">
      <c r="A712" s="404"/>
      <c r="B712" s="432"/>
      <c r="C712" s="433"/>
      <c r="D712" s="432"/>
      <c r="E712" s="285"/>
      <c r="F712" s="431"/>
      <c r="G712" s="496"/>
      <c r="H712" s="506"/>
    </row>
    <row r="713" spans="1:8" s="225" customFormat="1" ht="24" x14ac:dyDescent="0.25">
      <c r="A713" s="108" t="s">
        <v>1781</v>
      </c>
      <c r="B713" s="51" t="s">
        <v>7</v>
      </c>
      <c r="C713" s="50" t="s">
        <v>2322</v>
      </c>
      <c r="D713" s="109" t="s">
        <v>2307</v>
      </c>
      <c r="E713" s="186">
        <v>5</v>
      </c>
      <c r="F713" s="131"/>
      <c r="G713" s="476"/>
      <c r="H713" s="506"/>
    </row>
    <row r="714" spans="1:8" s="225" customFormat="1" ht="12.75" customHeight="1" x14ac:dyDescent="0.25">
      <c r="A714" s="404"/>
      <c r="B714" s="432"/>
      <c r="C714" s="433"/>
      <c r="D714" s="432"/>
      <c r="E714" s="285"/>
      <c r="F714" s="431"/>
      <c r="G714" s="496"/>
      <c r="H714" s="506"/>
    </row>
    <row r="715" spans="1:8" s="225" customFormat="1" ht="28.5" customHeight="1" x14ac:dyDescent="0.25">
      <c r="A715" s="526" t="s">
        <v>609</v>
      </c>
      <c r="B715" s="526"/>
      <c r="C715" s="526"/>
      <c r="D715" s="526"/>
      <c r="E715" s="526"/>
      <c r="F715" s="526"/>
      <c r="G715" s="330"/>
      <c r="H715" s="506"/>
    </row>
    <row r="716" spans="1:8" s="225" customFormat="1" ht="28.5" customHeight="1" x14ac:dyDescent="0.25">
      <c r="A716" s="526" t="s">
        <v>610</v>
      </c>
      <c r="B716" s="526"/>
      <c r="C716" s="526"/>
      <c r="D716" s="526"/>
      <c r="E716" s="526"/>
      <c r="F716" s="526"/>
      <c r="G716" s="330"/>
      <c r="H716" s="506"/>
    </row>
    <row r="717" spans="1:8" s="225" customFormat="1" ht="12.75" customHeight="1" x14ac:dyDescent="0.25">
      <c r="A717" s="404"/>
      <c r="B717" s="432"/>
      <c r="C717" s="433"/>
      <c r="D717" s="432"/>
      <c r="E717" s="285"/>
      <c r="F717" s="431"/>
      <c r="G717" s="505"/>
      <c r="H717" s="506"/>
    </row>
    <row r="718" spans="1:8" s="225" customFormat="1" ht="15" x14ac:dyDescent="0.25">
      <c r="A718" s="108"/>
      <c r="B718" s="66" t="s">
        <v>476</v>
      </c>
      <c r="C718" s="67" t="s">
        <v>2323</v>
      </c>
      <c r="D718" s="51"/>
      <c r="E718" s="186"/>
      <c r="F718" s="131"/>
      <c r="G718" s="503"/>
      <c r="H718" s="506"/>
    </row>
    <row r="719" spans="1:8" s="225" customFormat="1" ht="12" customHeight="1" x14ac:dyDescent="0.25">
      <c r="A719" s="404"/>
      <c r="B719" s="432"/>
      <c r="C719" s="433"/>
      <c r="D719" s="432"/>
      <c r="E719" s="285"/>
      <c r="F719" s="431"/>
      <c r="G719" s="496"/>
      <c r="H719" s="506"/>
    </row>
    <row r="720" spans="1:8" s="225" customFormat="1" ht="24" x14ac:dyDescent="0.25">
      <c r="A720" s="108"/>
      <c r="B720" s="51"/>
      <c r="C720" s="154" t="s">
        <v>2324</v>
      </c>
      <c r="D720" s="51"/>
      <c r="E720" s="186"/>
      <c r="F720" s="131"/>
      <c r="G720" s="476"/>
      <c r="H720" s="506"/>
    </row>
    <row r="721" spans="1:8" s="225" customFormat="1" ht="15" x14ac:dyDescent="0.25">
      <c r="A721" s="485"/>
      <c r="B721" s="486"/>
      <c r="C721" s="487"/>
      <c r="D721" s="486"/>
      <c r="E721" s="285"/>
      <c r="F721" s="431"/>
      <c r="G721" s="496"/>
      <c r="H721" s="506"/>
    </row>
    <row r="722" spans="1:8" s="225" customFormat="1" ht="15" x14ac:dyDescent="0.25">
      <c r="A722" s="108" t="s">
        <v>1782</v>
      </c>
      <c r="B722" s="51"/>
      <c r="C722" s="50" t="s">
        <v>2325</v>
      </c>
      <c r="D722" s="51" t="s">
        <v>8</v>
      </c>
      <c r="E722" s="186">
        <v>2</v>
      </c>
      <c r="F722" s="131"/>
      <c r="G722" s="476"/>
      <c r="H722" s="506"/>
    </row>
    <row r="723" spans="1:8" s="225" customFormat="1" ht="15" x14ac:dyDescent="0.25">
      <c r="A723" s="259"/>
      <c r="B723" s="162"/>
      <c r="C723" s="394"/>
      <c r="D723" s="162"/>
      <c r="E723" s="260"/>
      <c r="F723" s="261"/>
      <c r="G723" s="163"/>
      <c r="H723" s="506"/>
    </row>
    <row r="724" spans="1:8" s="225" customFormat="1" ht="15" x14ac:dyDescent="0.25">
      <c r="A724" s="150"/>
      <c r="B724" s="46">
        <v>8.3000000000000007</v>
      </c>
      <c r="C724" s="6" t="s">
        <v>151</v>
      </c>
      <c r="D724" s="121"/>
      <c r="E724" s="165"/>
      <c r="F724" s="149"/>
      <c r="G724" s="117"/>
      <c r="H724" s="506"/>
    </row>
    <row r="725" spans="1:8" s="225" customFormat="1" ht="12" customHeight="1" x14ac:dyDescent="0.25">
      <c r="A725" s="259"/>
      <c r="B725" s="162"/>
      <c r="C725" s="394"/>
      <c r="D725" s="162"/>
      <c r="E725" s="260"/>
      <c r="F725" s="261"/>
      <c r="G725" s="163"/>
      <c r="H725" s="506"/>
    </row>
    <row r="726" spans="1:8" s="225" customFormat="1" ht="12" customHeight="1" x14ac:dyDescent="0.25">
      <c r="A726" s="150"/>
      <c r="B726" s="121"/>
      <c r="C726" s="72" t="s">
        <v>406</v>
      </c>
      <c r="D726" s="121"/>
      <c r="E726" s="165"/>
      <c r="F726" s="149"/>
      <c r="G726" s="117"/>
      <c r="H726" s="506"/>
    </row>
    <row r="727" spans="1:8" s="225" customFormat="1" ht="12" customHeight="1" x14ac:dyDescent="0.25">
      <c r="A727" s="259"/>
      <c r="B727" s="162"/>
      <c r="C727" s="394"/>
      <c r="D727" s="162"/>
      <c r="E727" s="260"/>
      <c r="F727" s="261"/>
      <c r="G727" s="163"/>
      <c r="H727" s="506"/>
    </row>
    <row r="728" spans="1:8" s="225" customFormat="1" ht="15" x14ac:dyDescent="0.25">
      <c r="A728" s="108" t="s">
        <v>1937</v>
      </c>
      <c r="B728" s="51" t="s">
        <v>26</v>
      </c>
      <c r="C728" s="50" t="s">
        <v>349</v>
      </c>
      <c r="D728" s="51" t="s">
        <v>92</v>
      </c>
      <c r="E728" s="186">
        <v>2.5</v>
      </c>
      <c r="F728" s="131"/>
      <c r="G728" s="476"/>
      <c r="H728" s="506"/>
    </row>
    <row r="729" spans="1:8" s="225" customFormat="1" ht="12" customHeight="1" x14ac:dyDescent="0.25">
      <c r="A729" s="404"/>
      <c r="B729" s="432"/>
      <c r="C729" s="433"/>
      <c r="D729" s="432"/>
      <c r="E729" s="285"/>
      <c r="F729" s="431"/>
      <c r="G729" s="496"/>
      <c r="H729" s="506"/>
    </row>
    <row r="730" spans="1:8" s="225" customFormat="1" ht="36" x14ac:dyDescent="0.25">
      <c r="A730" s="108" t="s">
        <v>1938</v>
      </c>
      <c r="B730" s="51" t="s">
        <v>2328</v>
      </c>
      <c r="C730" s="50" t="s">
        <v>2326</v>
      </c>
      <c r="D730" s="51" t="s">
        <v>92</v>
      </c>
      <c r="E730" s="186">
        <v>1</v>
      </c>
      <c r="F730" s="131"/>
      <c r="G730" s="476"/>
      <c r="H730" s="506" t="s">
        <v>2327</v>
      </c>
    </row>
    <row r="731" spans="1:8" s="225" customFormat="1" ht="15" x14ac:dyDescent="0.25">
      <c r="A731" s="404"/>
      <c r="B731" s="432"/>
      <c r="C731" s="433"/>
      <c r="D731" s="432"/>
      <c r="E731" s="285"/>
      <c r="F731" s="431"/>
      <c r="G731" s="496"/>
      <c r="H731" s="506"/>
    </row>
    <row r="732" spans="1:8" s="225" customFormat="1" ht="15" x14ac:dyDescent="0.25">
      <c r="A732" s="150"/>
      <c r="B732" s="5">
        <v>8.4</v>
      </c>
      <c r="C732" s="19" t="s">
        <v>152</v>
      </c>
      <c r="D732" s="121"/>
      <c r="E732" s="165"/>
      <c r="F732" s="149"/>
      <c r="G732" s="117"/>
      <c r="H732" s="506"/>
    </row>
    <row r="733" spans="1:8" s="225" customFormat="1" ht="15" x14ac:dyDescent="0.25">
      <c r="A733" s="259"/>
      <c r="B733" s="395"/>
      <c r="C733" s="396"/>
      <c r="D733" s="162"/>
      <c r="E733" s="260"/>
      <c r="F733" s="261"/>
      <c r="G733" s="163"/>
      <c r="H733" s="506"/>
    </row>
    <row r="734" spans="1:8" s="225" customFormat="1" ht="15" x14ac:dyDescent="0.25">
      <c r="A734" s="150"/>
      <c r="B734" s="112"/>
      <c r="C734" s="72" t="s">
        <v>407</v>
      </c>
      <c r="D734" s="121"/>
      <c r="E734" s="165"/>
      <c r="F734" s="149"/>
      <c r="G734" s="117"/>
      <c r="H734" s="506"/>
    </row>
    <row r="735" spans="1:8" s="225" customFormat="1" ht="15" x14ac:dyDescent="0.25">
      <c r="A735" s="404"/>
      <c r="B735" s="432"/>
      <c r="C735" s="433"/>
      <c r="D735" s="432"/>
      <c r="E735" s="285"/>
      <c r="F735" s="431"/>
      <c r="G735" s="496"/>
      <c r="H735" s="506"/>
    </row>
    <row r="736" spans="1:8" s="225" customFormat="1" ht="15" x14ac:dyDescent="0.25">
      <c r="A736" s="108" t="s">
        <v>1939</v>
      </c>
      <c r="B736" s="51" t="s">
        <v>52</v>
      </c>
      <c r="C736" s="50" t="s">
        <v>348</v>
      </c>
      <c r="D736" s="214" t="s">
        <v>88</v>
      </c>
      <c r="E736" s="186">
        <v>1</v>
      </c>
      <c r="F736" s="131"/>
      <c r="G736" s="476"/>
      <c r="H736" s="506"/>
    </row>
    <row r="737" spans="1:8" s="225" customFormat="1" ht="15" x14ac:dyDescent="0.25">
      <c r="A737" s="404"/>
      <c r="B737" s="432"/>
      <c r="C737" s="433"/>
      <c r="D737" s="432"/>
      <c r="E737" s="285"/>
      <c r="F737" s="431"/>
      <c r="G737" s="496"/>
      <c r="H737" s="506"/>
    </row>
    <row r="738" spans="1:8" s="225" customFormat="1" ht="15" x14ac:dyDescent="0.25">
      <c r="A738" s="108"/>
      <c r="B738" s="507" t="s">
        <v>94</v>
      </c>
      <c r="C738" s="508" t="s">
        <v>178</v>
      </c>
      <c r="D738" s="52"/>
      <c r="E738" s="187"/>
      <c r="F738" s="123"/>
      <c r="G738" s="499"/>
      <c r="H738" s="506"/>
    </row>
    <row r="739" spans="1:8" s="225" customFormat="1" ht="15" x14ac:dyDescent="0.25">
      <c r="A739" s="404"/>
      <c r="B739" s="432"/>
      <c r="C739" s="433"/>
      <c r="D739" s="432"/>
      <c r="E739" s="285"/>
      <c r="F739" s="431"/>
      <c r="G739" s="496"/>
      <c r="H739" s="506"/>
    </row>
    <row r="740" spans="1:8" s="225" customFormat="1" ht="24.75" customHeight="1" x14ac:dyDescent="0.25">
      <c r="A740" s="108" t="s">
        <v>1940</v>
      </c>
      <c r="B740" s="51"/>
      <c r="C740" s="50" t="s">
        <v>347</v>
      </c>
      <c r="D740" s="214" t="s">
        <v>88</v>
      </c>
      <c r="E740" s="186">
        <v>2.5</v>
      </c>
      <c r="F740" s="131"/>
      <c r="G740" s="476"/>
      <c r="H740" s="506"/>
    </row>
    <row r="741" spans="1:8" s="225" customFormat="1" ht="12" customHeight="1" x14ac:dyDescent="0.25">
      <c r="A741" s="404"/>
      <c r="B741" s="432"/>
      <c r="C741" s="433"/>
      <c r="D741" s="432"/>
      <c r="E741" s="285"/>
      <c r="F741" s="431"/>
      <c r="G741" s="496"/>
      <c r="H741" s="506"/>
    </row>
    <row r="742" spans="1:8" s="225" customFormat="1" ht="24" x14ac:dyDescent="0.25">
      <c r="A742" s="108" t="s">
        <v>1941</v>
      </c>
      <c r="B742" s="51"/>
      <c r="C742" s="50" t="s">
        <v>346</v>
      </c>
      <c r="D742" s="214" t="s">
        <v>88</v>
      </c>
      <c r="E742" s="186">
        <v>2</v>
      </c>
      <c r="F742" s="131"/>
      <c r="G742" s="476"/>
      <c r="H742" s="506"/>
    </row>
    <row r="743" spans="1:8" s="225" customFormat="1" ht="12" customHeight="1" x14ac:dyDescent="0.25">
      <c r="A743" s="404"/>
      <c r="B743" s="432"/>
      <c r="C743" s="433"/>
      <c r="D743" s="432"/>
      <c r="E743" s="285"/>
      <c r="F743" s="431"/>
      <c r="G743" s="496"/>
      <c r="H743" s="506"/>
    </row>
    <row r="744" spans="1:8" s="225" customFormat="1" ht="24" x14ac:dyDescent="0.25">
      <c r="A744" s="108" t="s">
        <v>1942</v>
      </c>
      <c r="B744" s="51" t="s">
        <v>2330</v>
      </c>
      <c r="C744" s="50" t="s">
        <v>2329</v>
      </c>
      <c r="D744" s="214" t="s">
        <v>88</v>
      </c>
      <c r="E744" s="186">
        <v>0.5</v>
      </c>
      <c r="F744" s="131"/>
      <c r="G744" s="476"/>
      <c r="H744" s="506" t="s">
        <v>2331</v>
      </c>
    </row>
    <row r="745" spans="1:8" s="225" customFormat="1" ht="12" customHeight="1" x14ac:dyDescent="0.25">
      <c r="A745" s="404"/>
      <c r="B745" s="432"/>
      <c r="C745" s="433"/>
      <c r="D745" s="432"/>
      <c r="E745" s="285"/>
      <c r="F745" s="431"/>
      <c r="G745" s="496"/>
      <c r="H745" s="506"/>
    </row>
    <row r="746" spans="1:8" s="225" customFormat="1" ht="15" x14ac:dyDescent="0.25">
      <c r="A746" s="108"/>
      <c r="B746" s="138" t="s">
        <v>58</v>
      </c>
      <c r="C746" s="60" t="s">
        <v>345</v>
      </c>
      <c r="D746" s="51"/>
      <c r="E746" s="186"/>
      <c r="F746" s="131"/>
      <c r="G746" s="503"/>
      <c r="H746" s="506"/>
    </row>
    <row r="747" spans="1:8" s="225" customFormat="1" ht="10.5" customHeight="1" x14ac:dyDescent="0.25">
      <c r="A747" s="404"/>
      <c r="B747" s="432"/>
      <c r="C747" s="433"/>
      <c r="D747" s="432"/>
      <c r="E747" s="285"/>
      <c r="F747" s="431"/>
      <c r="G747" s="496"/>
      <c r="H747" s="506"/>
    </row>
    <row r="748" spans="1:8" s="225" customFormat="1" ht="15" x14ac:dyDescent="0.25">
      <c r="A748" s="108" t="s">
        <v>1943</v>
      </c>
      <c r="B748" s="51"/>
      <c r="C748" s="50" t="s">
        <v>344</v>
      </c>
      <c r="D748" s="109" t="s">
        <v>2307</v>
      </c>
      <c r="E748" s="186">
        <v>5</v>
      </c>
      <c r="F748" s="131"/>
      <c r="G748" s="476"/>
      <c r="H748" s="506"/>
    </row>
    <row r="749" spans="1:8" s="225" customFormat="1" ht="12" customHeight="1" x14ac:dyDescent="0.25">
      <c r="A749" s="404"/>
      <c r="B749" s="432"/>
      <c r="C749" s="433"/>
      <c r="D749" s="432"/>
      <c r="E749" s="285"/>
      <c r="F749" s="431"/>
      <c r="G749" s="496"/>
      <c r="H749" s="506"/>
    </row>
    <row r="750" spans="1:8" s="225" customFormat="1" ht="15" x14ac:dyDescent="0.25">
      <c r="A750" s="108" t="s">
        <v>1944</v>
      </c>
      <c r="B750" s="51"/>
      <c r="C750" s="50" t="s">
        <v>343</v>
      </c>
      <c r="D750" s="109" t="s">
        <v>2307</v>
      </c>
      <c r="E750" s="186">
        <v>5</v>
      </c>
      <c r="F750" s="131"/>
      <c r="G750" s="476"/>
      <c r="H750" s="506"/>
    </row>
    <row r="751" spans="1:8" s="225" customFormat="1" ht="12" customHeight="1" x14ac:dyDescent="0.25">
      <c r="A751" s="404"/>
      <c r="B751" s="432"/>
      <c r="C751" s="433"/>
      <c r="D751" s="432"/>
      <c r="E751" s="285"/>
      <c r="F751" s="431"/>
      <c r="G751" s="496"/>
      <c r="H751" s="506"/>
    </row>
    <row r="752" spans="1:8" s="225" customFormat="1" ht="36" x14ac:dyDescent="0.25">
      <c r="A752" s="108" t="s">
        <v>1945</v>
      </c>
      <c r="B752" s="51" t="s">
        <v>153</v>
      </c>
      <c r="C752" s="50" t="s">
        <v>2332</v>
      </c>
      <c r="D752" s="51" t="s">
        <v>8</v>
      </c>
      <c r="E752" s="186">
        <v>3</v>
      </c>
      <c r="F752" s="131"/>
      <c r="G752" s="476"/>
      <c r="H752" s="506" t="s">
        <v>2333</v>
      </c>
    </row>
    <row r="753" spans="1:8" s="225" customFormat="1" ht="15" x14ac:dyDescent="0.25">
      <c r="A753" s="485"/>
      <c r="B753" s="513"/>
      <c r="C753" s="514"/>
      <c r="D753" s="513"/>
      <c r="E753" s="236"/>
      <c r="F753" s="431"/>
      <c r="G753" s="515"/>
      <c r="H753" s="506"/>
    </row>
    <row r="754" spans="1:8" s="225" customFormat="1" ht="15" x14ac:dyDescent="0.25">
      <c r="A754" s="248"/>
      <c r="B754" s="483"/>
      <c r="C754" s="276"/>
      <c r="D754" s="483"/>
      <c r="E754" s="211"/>
      <c r="F754" s="123"/>
      <c r="G754" s="512"/>
      <c r="H754" s="506"/>
    </row>
    <row r="755" spans="1:8" s="225" customFormat="1" ht="15" x14ac:dyDescent="0.25">
      <c r="A755" s="485"/>
      <c r="B755" s="513"/>
      <c r="C755" s="514"/>
      <c r="D755" s="513"/>
      <c r="E755" s="236"/>
      <c r="F755" s="431"/>
      <c r="G755" s="515"/>
      <c r="H755" s="506"/>
    </row>
    <row r="756" spans="1:8" s="225" customFormat="1" ht="28.5" customHeight="1" x14ac:dyDescent="0.25">
      <c r="A756" s="526" t="s">
        <v>609</v>
      </c>
      <c r="B756" s="526"/>
      <c r="C756" s="526"/>
      <c r="D756" s="526"/>
      <c r="E756" s="526"/>
      <c r="F756" s="526"/>
      <c r="G756" s="330"/>
      <c r="H756" s="506"/>
    </row>
    <row r="757" spans="1:8" s="225" customFormat="1" ht="28.5" customHeight="1" x14ac:dyDescent="0.25">
      <c r="A757" s="526" t="s">
        <v>610</v>
      </c>
      <c r="B757" s="526"/>
      <c r="C757" s="526"/>
      <c r="D757" s="526"/>
      <c r="E757" s="526"/>
      <c r="F757" s="526"/>
      <c r="G757" s="330"/>
      <c r="H757" s="506"/>
    </row>
    <row r="758" spans="1:8" s="225" customFormat="1" ht="12" customHeight="1" x14ac:dyDescent="0.25">
      <c r="A758" s="404"/>
      <c r="B758" s="432"/>
      <c r="C758" s="433"/>
      <c r="D758" s="432"/>
      <c r="E758" s="285"/>
      <c r="F758" s="431"/>
      <c r="G758" s="496"/>
      <c r="H758" s="506"/>
    </row>
    <row r="759" spans="1:8" ht="24" x14ac:dyDescent="0.25">
      <c r="A759" s="231" t="s">
        <v>1946</v>
      </c>
      <c r="B759" s="138" t="s">
        <v>272</v>
      </c>
      <c r="C759" s="60" t="s">
        <v>271</v>
      </c>
      <c r="D759" s="207"/>
      <c r="E759" s="208"/>
      <c r="F759" s="132"/>
      <c r="G759" s="494"/>
    </row>
    <row r="760" spans="1:8" x14ac:dyDescent="0.25">
      <c r="A760" s="404"/>
      <c r="B760" s="432"/>
      <c r="C760" s="433"/>
      <c r="D760" s="432"/>
      <c r="E760" s="285"/>
      <c r="F760" s="431"/>
      <c r="G760" s="496"/>
    </row>
    <row r="761" spans="1:8" ht="25.5" customHeight="1" x14ac:dyDescent="0.25">
      <c r="A761" s="108"/>
      <c r="B761" s="138" t="s">
        <v>168</v>
      </c>
      <c r="C761" s="60" t="s">
        <v>300</v>
      </c>
      <c r="D761" s="51"/>
      <c r="E761" s="186"/>
      <c r="F761" s="132"/>
      <c r="G761" s="494"/>
    </row>
    <row r="762" spans="1:8" x14ac:dyDescent="0.25">
      <c r="A762" s="404"/>
      <c r="B762" s="432"/>
      <c r="C762" s="433"/>
      <c r="D762" s="432"/>
      <c r="E762" s="285"/>
      <c r="F762" s="431"/>
      <c r="G762" s="496"/>
    </row>
    <row r="763" spans="1:8" ht="13.5" x14ac:dyDescent="0.25">
      <c r="A763" s="108" t="s">
        <v>1947</v>
      </c>
      <c r="B763" s="51"/>
      <c r="C763" s="50" t="s">
        <v>268</v>
      </c>
      <c r="D763" s="214" t="s">
        <v>88</v>
      </c>
      <c r="E763" s="186">
        <v>5</v>
      </c>
      <c r="F763" s="132"/>
      <c r="G763" s="476"/>
    </row>
    <row r="764" spans="1:8" x14ac:dyDescent="0.25">
      <c r="A764" s="404"/>
      <c r="B764" s="432"/>
      <c r="C764" s="433"/>
      <c r="D764" s="432"/>
      <c r="E764" s="285"/>
      <c r="F764" s="431"/>
      <c r="G764" s="496"/>
    </row>
    <row r="765" spans="1:8" ht="48" x14ac:dyDescent="0.25">
      <c r="A765" s="108"/>
      <c r="B765" s="138" t="s">
        <v>169</v>
      </c>
      <c r="C765" s="60" t="s">
        <v>270</v>
      </c>
      <c r="D765" s="51"/>
      <c r="E765" s="186"/>
      <c r="F765" s="132"/>
      <c r="G765" s="494"/>
    </row>
    <row r="766" spans="1:8" ht="9.75" customHeight="1" x14ac:dyDescent="0.25">
      <c r="A766" s="404"/>
      <c r="B766" s="432"/>
      <c r="C766" s="433"/>
      <c r="D766" s="432"/>
      <c r="E766" s="285"/>
      <c r="F766" s="431"/>
      <c r="G766" s="496"/>
    </row>
    <row r="767" spans="1:8" ht="24" x14ac:dyDescent="0.25">
      <c r="A767" s="108"/>
      <c r="B767" s="66" t="s">
        <v>170</v>
      </c>
      <c r="C767" s="67" t="s">
        <v>269</v>
      </c>
      <c r="D767" s="51"/>
      <c r="E767" s="186"/>
      <c r="F767" s="133"/>
      <c r="G767" s="476"/>
    </row>
    <row r="768" spans="1:8" x14ac:dyDescent="0.25">
      <c r="A768" s="404"/>
      <c r="B768" s="432"/>
      <c r="C768" s="433"/>
      <c r="D768" s="432"/>
      <c r="E768" s="285"/>
      <c r="F768" s="431"/>
      <c r="G768" s="496"/>
    </row>
    <row r="769" spans="1:7" ht="13.5" x14ac:dyDescent="0.25">
      <c r="A769" s="108" t="s">
        <v>1948</v>
      </c>
      <c r="B769" s="51"/>
      <c r="C769" s="50" t="s">
        <v>246</v>
      </c>
      <c r="D769" s="214" t="s">
        <v>88</v>
      </c>
      <c r="E769" s="186">
        <v>20</v>
      </c>
      <c r="F769" s="133"/>
      <c r="G769" s="476"/>
    </row>
    <row r="770" spans="1:7" x14ac:dyDescent="0.25">
      <c r="A770" s="404"/>
      <c r="B770" s="432"/>
      <c r="C770" s="433"/>
      <c r="D770" s="432"/>
      <c r="E770" s="285"/>
      <c r="F770" s="431"/>
      <c r="G770" s="496"/>
    </row>
    <row r="771" spans="1:7" ht="13.5" x14ac:dyDescent="0.25">
      <c r="A771" s="108" t="s">
        <v>1949</v>
      </c>
      <c r="B771" s="51"/>
      <c r="C771" s="50" t="s">
        <v>268</v>
      </c>
      <c r="D771" s="214" t="s">
        <v>88</v>
      </c>
      <c r="E771" s="186">
        <v>35</v>
      </c>
      <c r="F771" s="133"/>
      <c r="G771" s="476"/>
    </row>
    <row r="772" spans="1:7" x14ac:dyDescent="0.25">
      <c r="A772" s="404"/>
      <c r="B772" s="432"/>
      <c r="C772" s="433"/>
      <c r="D772" s="432"/>
      <c r="E772" s="285"/>
      <c r="F772" s="431"/>
      <c r="G772" s="496"/>
    </row>
    <row r="773" spans="1:7" ht="24" x14ac:dyDescent="0.25">
      <c r="A773" s="108"/>
      <c r="B773" s="138" t="s">
        <v>267</v>
      </c>
      <c r="C773" s="60" t="s">
        <v>266</v>
      </c>
      <c r="D773" s="51"/>
      <c r="E773" s="186"/>
      <c r="F773" s="133"/>
      <c r="G773" s="494"/>
    </row>
    <row r="774" spans="1:7" ht="9.75" customHeight="1" x14ac:dyDescent="0.25">
      <c r="A774" s="404"/>
      <c r="B774" s="432"/>
      <c r="C774" s="433"/>
      <c r="D774" s="432"/>
      <c r="E774" s="285"/>
      <c r="F774" s="431"/>
      <c r="G774" s="496"/>
    </row>
    <row r="775" spans="1:7" ht="24" x14ac:dyDescent="0.25">
      <c r="A775" s="108" t="s">
        <v>1950</v>
      </c>
      <c r="B775" s="51"/>
      <c r="C775" s="50" t="s">
        <v>265</v>
      </c>
      <c r="D775" s="214" t="s">
        <v>88</v>
      </c>
      <c r="E775" s="186">
        <v>5</v>
      </c>
      <c r="F775" s="133"/>
      <c r="G775" s="476"/>
    </row>
    <row r="776" spans="1:7" x14ac:dyDescent="0.25">
      <c r="A776" s="404"/>
      <c r="B776" s="432"/>
      <c r="C776" s="433"/>
      <c r="D776" s="432"/>
      <c r="E776" s="285"/>
      <c r="F776" s="431"/>
      <c r="G776" s="496"/>
    </row>
    <row r="777" spans="1:7" ht="24" x14ac:dyDescent="0.25">
      <c r="A777" s="108" t="s">
        <v>2339</v>
      </c>
      <c r="B777" s="51"/>
      <c r="C777" s="353" t="s">
        <v>2242</v>
      </c>
      <c r="D777" s="142" t="s">
        <v>87</v>
      </c>
      <c r="E777" s="186">
        <v>20</v>
      </c>
      <c r="F777" s="124"/>
      <c r="G777" s="476"/>
    </row>
    <row r="778" spans="1:7" x14ac:dyDescent="0.25">
      <c r="A778" s="404"/>
      <c r="B778" s="432"/>
      <c r="C778" s="433"/>
      <c r="D778" s="432"/>
      <c r="E778" s="285"/>
      <c r="F778" s="431"/>
      <c r="G778" s="496"/>
    </row>
    <row r="779" spans="1:7" ht="24" x14ac:dyDescent="0.25">
      <c r="A779" s="340" t="s">
        <v>1784</v>
      </c>
      <c r="B779" s="138" t="s">
        <v>264</v>
      </c>
      <c r="C779" s="60" t="s">
        <v>245</v>
      </c>
      <c r="D779" s="51"/>
      <c r="E779" s="186"/>
      <c r="F779" s="133"/>
      <c r="G779" s="476"/>
    </row>
    <row r="780" spans="1:7" x14ac:dyDescent="0.25">
      <c r="A780" s="404"/>
      <c r="B780" s="432"/>
      <c r="C780" s="433"/>
      <c r="D780" s="432"/>
      <c r="E780" s="285"/>
      <c r="F780" s="431"/>
      <c r="G780" s="496"/>
    </row>
    <row r="781" spans="1:7" ht="24" x14ac:dyDescent="0.25">
      <c r="A781" s="109"/>
      <c r="B781" s="138" t="s">
        <v>5</v>
      </c>
      <c r="C781" s="60" t="s">
        <v>2334</v>
      </c>
      <c r="D781" s="51"/>
      <c r="E781" s="186"/>
      <c r="F781" s="124"/>
      <c r="G781" s="476"/>
    </row>
    <row r="782" spans="1:7" x14ac:dyDescent="0.25">
      <c r="A782" s="404"/>
      <c r="B782" s="432"/>
      <c r="C782" s="433"/>
      <c r="D782" s="432"/>
      <c r="E782" s="285"/>
      <c r="F782" s="431"/>
      <c r="G782" s="496"/>
    </row>
    <row r="783" spans="1:7" ht="36" x14ac:dyDescent="0.25">
      <c r="A783" s="109" t="s">
        <v>1785</v>
      </c>
      <c r="B783" s="51"/>
      <c r="C783" s="50" t="s">
        <v>2335</v>
      </c>
      <c r="D783" s="51" t="s">
        <v>6</v>
      </c>
      <c r="E783" s="186">
        <v>50</v>
      </c>
      <c r="F783" s="126"/>
      <c r="G783" s="476"/>
    </row>
    <row r="784" spans="1:7" x14ac:dyDescent="0.25">
      <c r="A784" s="404"/>
      <c r="B784" s="432"/>
      <c r="C784" s="433"/>
      <c r="D784" s="432"/>
      <c r="E784" s="285"/>
      <c r="F784" s="431"/>
      <c r="G784" s="496"/>
    </row>
    <row r="785" spans="1:7" ht="36" x14ac:dyDescent="0.25">
      <c r="A785" s="109" t="s">
        <v>1786</v>
      </c>
      <c r="B785" s="51"/>
      <c r="C785" s="50" t="s">
        <v>2336</v>
      </c>
      <c r="D785" s="51" t="s">
        <v>6</v>
      </c>
      <c r="E785" s="186">
        <v>10</v>
      </c>
      <c r="F785" s="126"/>
      <c r="G785" s="476"/>
    </row>
    <row r="786" spans="1:7" x14ac:dyDescent="0.25">
      <c r="A786" s="404"/>
      <c r="B786" s="432"/>
      <c r="C786" s="433"/>
      <c r="D786" s="432"/>
      <c r="E786" s="285"/>
      <c r="F786" s="431"/>
      <c r="G786" s="496"/>
    </row>
    <row r="787" spans="1:7" x14ac:dyDescent="0.25">
      <c r="A787" s="109"/>
      <c r="B787" s="51"/>
      <c r="C787" s="50"/>
      <c r="D787" s="51"/>
      <c r="E787" s="186"/>
      <c r="F787" s="126"/>
      <c r="G787" s="476"/>
    </row>
    <row r="788" spans="1:7" x14ac:dyDescent="0.25">
      <c r="A788" s="404"/>
      <c r="B788" s="432"/>
      <c r="C788" s="433"/>
      <c r="D788" s="432"/>
      <c r="E788" s="285"/>
      <c r="F788" s="431"/>
      <c r="G788" s="496"/>
    </row>
    <row r="789" spans="1:7" x14ac:dyDescent="0.25">
      <c r="A789" s="109"/>
      <c r="B789" s="51"/>
      <c r="C789" s="50"/>
      <c r="D789" s="51"/>
      <c r="E789" s="186"/>
      <c r="F789" s="126"/>
      <c r="G789" s="476"/>
    </row>
    <row r="790" spans="1:7" x14ac:dyDescent="0.25">
      <c r="A790" s="404"/>
      <c r="B790" s="432"/>
      <c r="C790" s="433"/>
      <c r="D790" s="432"/>
      <c r="E790" s="285"/>
      <c r="F790" s="431"/>
      <c r="G790" s="496"/>
    </row>
    <row r="791" spans="1:7" x14ac:dyDescent="0.25">
      <c r="A791" s="109"/>
      <c r="B791" s="51"/>
      <c r="C791" s="50"/>
      <c r="D791" s="51"/>
      <c r="E791" s="186"/>
      <c r="F791" s="126"/>
      <c r="G791" s="476"/>
    </row>
    <row r="792" spans="1:7" x14ac:dyDescent="0.25">
      <c r="A792" s="404"/>
      <c r="B792" s="432"/>
      <c r="C792" s="433"/>
      <c r="D792" s="432"/>
      <c r="E792" s="285"/>
      <c r="F792" s="431"/>
      <c r="G792" s="496"/>
    </row>
    <row r="793" spans="1:7" x14ac:dyDescent="0.25">
      <c r="A793" s="109"/>
      <c r="B793" s="51"/>
      <c r="C793" s="50"/>
      <c r="D793" s="51"/>
      <c r="E793" s="186"/>
      <c r="F793" s="126"/>
      <c r="G793" s="476"/>
    </row>
    <row r="794" spans="1:7" x14ac:dyDescent="0.25">
      <c r="A794" s="404"/>
      <c r="B794" s="432"/>
      <c r="C794" s="433"/>
      <c r="D794" s="432"/>
      <c r="E794" s="285"/>
      <c r="F794" s="431"/>
      <c r="G794" s="496"/>
    </row>
    <row r="795" spans="1:7" ht="28.5" customHeight="1" x14ac:dyDescent="0.25">
      <c r="A795" s="526" t="s">
        <v>609</v>
      </c>
      <c r="B795" s="526"/>
      <c r="C795" s="526"/>
      <c r="D795" s="526"/>
      <c r="E795" s="526"/>
      <c r="F795" s="526"/>
      <c r="G795" s="330"/>
    </row>
    <row r="796" spans="1:7" ht="28.5" customHeight="1" x14ac:dyDescent="0.25">
      <c r="A796" s="526" t="s">
        <v>610</v>
      </c>
      <c r="B796" s="526"/>
      <c r="C796" s="526"/>
      <c r="D796" s="526"/>
      <c r="E796" s="526"/>
      <c r="F796" s="526"/>
      <c r="G796" s="330"/>
    </row>
    <row r="797" spans="1:7" x14ac:dyDescent="0.25">
      <c r="A797" s="404"/>
      <c r="B797" s="432"/>
      <c r="C797" s="433"/>
      <c r="D797" s="432"/>
      <c r="E797" s="285"/>
      <c r="F797" s="431"/>
      <c r="G797" s="496"/>
    </row>
    <row r="798" spans="1:7" ht="84" x14ac:dyDescent="0.25">
      <c r="A798" s="109"/>
      <c r="B798" s="138" t="s">
        <v>2295</v>
      </c>
      <c r="C798" s="60" t="s">
        <v>2337</v>
      </c>
      <c r="D798" s="51"/>
      <c r="E798" s="186"/>
      <c r="F798" s="124"/>
      <c r="G798" s="476"/>
    </row>
    <row r="799" spans="1:7" x14ac:dyDescent="0.25">
      <c r="A799" s="404"/>
      <c r="B799" s="432"/>
      <c r="C799" s="433"/>
      <c r="D799" s="432"/>
      <c r="E799" s="285"/>
      <c r="F799" s="431"/>
      <c r="G799" s="496"/>
    </row>
    <row r="800" spans="1:7" ht="24" x14ac:dyDescent="0.25">
      <c r="A800" s="109" t="s">
        <v>1951</v>
      </c>
      <c r="B800" s="51"/>
      <c r="C800" s="50" t="s">
        <v>2338</v>
      </c>
      <c r="D800" s="51" t="s">
        <v>8</v>
      </c>
      <c r="E800" s="186">
        <v>1</v>
      </c>
      <c r="F800" s="126"/>
      <c r="G800" s="476"/>
    </row>
    <row r="801" spans="1:7" x14ac:dyDescent="0.25">
      <c r="A801" s="404"/>
      <c r="B801" s="432"/>
      <c r="C801" s="433"/>
      <c r="D801" s="432"/>
      <c r="E801" s="285"/>
      <c r="F801" s="431"/>
      <c r="G801" s="496"/>
    </row>
    <row r="802" spans="1:7" ht="24" x14ac:dyDescent="0.25">
      <c r="A802" s="109" t="s">
        <v>1787</v>
      </c>
      <c r="B802" s="51"/>
      <c r="C802" s="50" t="s">
        <v>342</v>
      </c>
      <c r="D802" s="51" t="s">
        <v>8</v>
      </c>
      <c r="E802" s="186">
        <v>1</v>
      </c>
      <c r="F802" s="126"/>
      <c r="G802" s="476"/>
    </row>
    <row r="803" spans="1:7" x14ac:dyDescent="0.25">
      <c r="A803" s="404"/>
      <c r="B803" s="432"/>
      <c r="C803" s="433"/>
      <c r="D803" s="432"/>
      <c r="E803" s="285"/>
      <c r="F803" s="431"/>
      <c r="G803" s="496"/>
    </row>
    <row r="804" spans="1:7" ht="24" x14ac:dyDescent="0.25">
      <c r="A804" s="109" t="s">
        <v>1788</v>
      </c>
      <c r="B804" s="51"/>
      <c r="C804" s="50" t="s">
        <v>341</v>
      </c>
      <c r="D804" s="51" t="s">
        <v>8</v>
      </c>
      <c r="E804" s="186">
        <v>2</v>
      </c>
      <c r="F804" s="126"/>
      <c r="G804" s="476"/>
    </row>
    <row r="805" spans="1:7" x14ac:dyDescent="0.25">
      <c r="A805" s="404"/>
      <c r="B805" s="432"/>
      <c r="C805" s="433"/>
      <c r="D805" s="432"/>
      <c r="E805" s="285"/>
      <c r="F805" s="431"/>
      <c r="G805" s="496"/>
    </row>
    <row r="806" spans="1:7" ht="24" x14ac:dyDescent="0.25">
      <c r="A806" s="109" t="s">
        <v>1952</v>
      </c>
      <c r="B806" s="51"/>
      <c r="C806" s="50" t="s">
        <v>340</v>
      </c>
      <c r="D806" s="51" t="s">
        <v>8</v>
      </c>
      <c r="E806" s="186">
        <v>1</v>
      </c>
      <c r="F806" s="126"/>
      <c r="G806" s="476"/>
    </row>
    <row r="807" spans="1:7" x14ac:dyDescent="0.25">
      <c r="A807" s="404"/>
      <c r="B807" s="432"/>
      <c r="C807" s="433"/>
      <c r="D807" s="432"/>
      <c r="E807" s="285"/>
      <c r="F807" s="431"/>
      <c r="G807" s="496"/>
    </row>
    <row r="808" spans="1:7" x14ac:dyDescent="0.25">
      <c r="A808" s="109"/>
      <c r="B808" s="138" t="s">
        <v>205</v>
      </c>
      <c r="C808" s="60" t="s">
        <v>2340</v>
      </c>
      <c r="D808" s="51"/>
      <c r="E808" s="186"/>
      <c r="F808" s="124"/>
      <c r="G808" s="476"/>
    </row>
    <row r="809" spans="1:7" x14ac:dyDescent="0.25">
      <c r="A809" s="404"/>
      <c r="B809" s="432"/>
      <c r="C809" s="433"/>
      <c r="D809" s="432"/>
      <c r="E809" s="285"/>
      <c r="F809" s="431"/>
      <c r="G809" s="496"/>
    </row>
    <row r="810" spans="1:7" ht="48" x14ac:dyDescent="0.25">
      <c r="A810" s="109" t="s">
        <v>1953</v>
      </c>
      <c r="B810" s="51"/>
      <c r="C810" s="50" t="s">
        <v>2341</v>
      </c>
      <c r="D810" s="51" t="s">
        <v>8</v>
      </c>
      <c r="E810" s="186">
        <v>1</v>
      </c>
      <c r="F810" s="126"/>
      <c r="G810" s="476"/>
    </row>
    <row r="811" spans="1:7" x14ac:dyDescent="0.25">
      <c r="A811" s="404"/>
      <c r="B811" s="432"/>
      <c r="C811" s="433"/>
      <c r="D811" s="432"/>
      <c r="E811" s="285"/>
      <c r="F811" s="431"/>
      <c r="G811" s="496"/>
    </row>
    <row r="812" spans="1:7" ht="48" x14ac:dyDescent="0.25">
      <c r="A812" s="109" t="s">
        <v>1954</v>
      </c>
      <c r="B812" s="51"/>
      <c r="C812" s="50" t="s">
        <v>2342</v>
      </c>
      <c r="D812" s="51" t="s">
        <v>8</v>
      </c>
      <c r="E812" s="186">
        <v>1</v>
      </c>
      <c r="F812" s="126"/>
      <c r="G812" s="476"/>
    </row>
    <row r="813" spans="1:7" ht="11.25" customHeight="1" x14ac:dyDescent="0.25">
      <c r="A813" s="404"/>
      <c r="B813" s="432"/>
      <c r="C813" s="433"/>
      <c r="D813" s="432"/>
      <c r="E813" s="285"/>
      <c r="F813" s="431"/>
      <c r="G813" s="496"/>
    </row>
    <row r="814" spans="1:7" x14ac:dyDescent="0.25">
      <c r="A814" s="109" t="s">
        <v>1964</v>
      </c>
      <c r="B814" s="51"/>
      <c r="C814" s="50" t="s">
        <v>337</v>
      </c>
      <c r="D814" s="51" t="s">
        <v>8</v>
      </c>
      <c r="E814" s="186">
        <v>2</v>
      </c>
      <c r="F814" s="126"/>
      <c r="G814" s="476"/>
    </row>
    <row r="815" spans="1:7" x14ac:dyDescent="0.25">
      <c r="A815" s="404"/>
      <c r="B815" s="432"/>
      <c r="C815" s="433"/>
      <c r="D815" s="432"/>
      <c r="E815" s="285"/>
      <c r="F815" s="431"/>
      <c r="G815" s="496"/>
    </row>
    <row r="816" spans="1:7" ht="24" x14ac:dyDescent="0.25">
      <c r="A816" s="109" t="s">
        <v>1955</v>
      </c>
      <c r="B816" s="51"/>
      <c r="C816" s="50" t="s">
        <v>336</v>
      </c>
      <c r="D816" s="51" t="s">
        <v>8</v>
      </c>
      <c r="E816" s="186">
        <v>3</v>
      </c>
      <c r="F816" s="126"/>
      <c r="G816" s="476"/>
    </row>
    <row r="817" spans="1:7" x14ac:dyDescent="0.25">
      <c r="A817" s="404"/>
      <c r="B817" s="432"/>
      <c r="C817" s="433"/>
      <c r="D817" s="432"/>
      <c r="E817" s="285"/>
      <c r="F817" s="431"/>
      <c r="G817" s="496"/>
    </row>
    <row r="818" spans="1:7" x14ac:dyDescent="0.25">
      <c r="A818" s="109"/>
      <c r="B818" s="138" t="s">
        <v>146</v>
      </c>
      <c r="C818" s="60" t="s">
        <v>335</v>
      </c>
      <c r="D818" s="51"/>
      <c r="E818" s="186"/>
      <c r="F818" s="124"/>
      <c r="G818" s="476"/>
    </row>
    <row r="819" spans="1:7" ht="11.25" customHeight="1" x14ac:dyDescent="0.25">
      <c r="A819" s="404"/>
      <c r="B819" s="432"/>
      <c r="C819" s="433"/>
      <c r="D819" s="432"/>
      <c r="E819" s="285"/>
      <c r="F819" s="431"/>
      <c r="G819" s="496"/>
    </row>
    <row r="820" spans="1:7" ht="132" x14ac:dyDescent="0.25">
      <c r="A820" s="109" t="s">
        <v>1956</v>
      </c>
      <c r="B820" s="51"/>
      <c r="C820" s="135" t="s">
        <v>2345</v>
      </c>
      <c r="D820" s="51" t="s">
        <v>8</v>
      </c>
      <c r="E820" s="186">
        <v>1</v>
      </c>
      <c r="F820" s="126"/>
      <c r="G820" s="476"/>
    </row>
    <row r="821" spans="1:7" x14ac:dyDescent="0.25">
      <c r="A821" s="404"/>
      <c r="B821" s="432"/>
      <c r="C821" s="433"/>
      <c r="D821" s="432"/>
      <c r="E821" s="285"/>
      <c r="F821" s="431"/>
      <c r="G821" s="496"/>
    </row>
    <row r="822" spans="1:7" x14ac:dyDescent="0.25">
      <c r="A822" s="109"/>
      <c r="B822" s="51"/>
      <c r="C822" s="50"/>
      <c r="D822" s="51"/>
      <c r="E822" s="186"/>
      <c r="F822" s="126"/>
      <c r="G822" s="476"/>
    </row>
    <row r="823" spans="1:7" ht="28.5" customHeight="1" x14ac:dyDescent="0.25">
      <c r="A823" s="526" t="s">
        <v>609</v>
      </c>
      <c r="B823" s="526"/>
      <c r="C823" s="526"/>
      <c r="D823" s="526"/>
      <c r="E823" s="526"/>
      <c r="F823" s="526"/>
      <c r="G823" s="330"/>
    </row>
    <row r="824" spans="1:7" ht="28.5" customHeight="1" x14ac:dyDescent="0.25">
      <c r="A824" s="526" t="s">
        <v>610</v>
      </c>
      <c r="B824" s="526"/>
      <c r="C824" s="526"/>
      <c r="D824" s="526"/>
      <c r="E824" s="526"/>
      <c r="F824" s="526"/>
      <c r="G824" s="330"/>
    </row>
    <row r="825" spans="1:7" x14ac:dyDescent="0.25">
      <c r="A825" s="109"/>
      <c r="B825" s="51"/>
      <c r="C825" s="50"/>
      <c r="D825" s="51"/>
      <c r="E825" s="186"/>
      <c r="F825" s="126"/>
      <c r="G825" s="476"/>
    </row>
    <row r="826" spans="1:7" x14ac:dyDescent="0.25">
      <c r="A826" s="404"/>
      <c r="B826" s="432"/>
      <c r="C826" s="433"/>
      <c r="D826" s="432"/>
      <c r="E826" s="285"/>
      <c r="F826" s="431"/>
      <c r="G826" s="496"/>
    </row>
    <row r="827" spans="1:7" ht="39" customHeight="1" x14ac:dyDescent="0.25">
      <c r="A827" s="109" t="s">
        <v>1957</v>
      </c>
      <c r="B827" s="51" t="s">
        <v>146</v>
      </c>
      <c r="C827" s="50" t="s">
        <v>2343</v>
      </c>
      <c r="D827" s="51" t="s">
        <v>8</v>
      </c>
      <c r="E827" s="186">
        <v>2</v>
      </c>
      <c r="F827" s="126"/>
      <c r="G827" s="476"/>
    </row>
    <row r="828" spans="1:7" x14ac:dyDescent="0.25">
      <c r="A828" s="404"/>
      <c r="B828" s="432"/>
      <c r="C828" s="433"/>
      <c r="D828" s="432"/>
      <c r="E828" s="285"/>
      <c r="F828" s="431"/>
      <c r="G828" s="496"/>
    </row>
    <row r="829" spans="1:7" ht="36" x14ac:dyDescent="0.25">
      <c r="A829" s="109" t="s">
        <v>1958</v>
      </c>
      <c r="B829" s="51" t="s">
        <v>15</v>
      </c>
      <c r="C829" s="50" t="s">
        <v>2301</v>
      </c>
      <c r="D829" s="214" t="s">
        <v>88</v>
      </c>
      <c r="E829" s="186">
        <v>5</v>
      </c>
      <c r="F829" s="126"/>
      <c r="G829" s="476"/>
    </row>
    <row r="830" spans="1:7" x14ac:dyDescent="0.25">
      <c r="A830" s="404"/>
      <c r="B830" s="432"/>
      <c r="C830" s="433"/>
      <c r="D830" s="432"/>
      <c r="E830" s="285"/>
      <c r="F830" s="431"/>
      <c r="G830" s="496"/>
    </row>
    <row r="831" spans="1:7" ht="36" x14ac:dyDescent="0.25">
      <c r="A831" s="109"/>
      <c r="B831" s="138" t="s">
        <v>12</v>
      </c>
      <c r="C831" s="60" t="s">
        <v>332</v>
      </c>
      <c r="D831" s="51"/>
      <c r="E831" s="186"/>
      <c r="F831" s="124"/>
      <c r="G831" s="476"/>
    </row>
    <row r="832" spans="1:7" x14ac:dyDescent="0.25">
      <c r="A832" s="404"/>
      <c r="B832" s="432"/>
      <c r="C832" s="433"/>
      <c r="D832" s="432"/>
      <c r="E832" s="285"/>
      <c r="F832" s="431"/>
      <c r="G832" s="496"/>
    </row>
    <row r="833" spans="1:7" x14ac:dyDescent="0.25">
      <c r="A833" s="109" t="s">
        <v>1959</v>
      </c>
      <c r="B833" s="51"/>
      <c r="C833" s="50" t="s">
        <v>331</v>
      </c>
      <c r="D833" s="51" t="s">
        <v>8</v>
      </c>
      <c r="E833" s="186">
        <v>1</v>
      </c>
      <c r="F833" s="126"/>
      <c r="G833" s="476"/>
    </row>
    <row r="834" spans="1:7" x14ac:dyDescent="0.25">
      <c r="A834" s="404"/>
      <c r="B834" s="432"/>
      <c r="C834" s="433"/>
      <c r="D834" s="432"/>
      <c r="E834" s="285"/>
      <c r="F834" s="431"/>
      <c r="G834" s="496"/>
    </row>
    <row r="835" spans="1:7" ht="24" x14ac:dyDescent="0.25">
      <c r="A835" s="109" t="s">
        <v>1960</v>
      </c>
      <c r="B835" s="51" t="s">
        <v>295</v>
      </c>
      <c r="C835" s="50" t="s">
        <v>294</v>
      </c>
      <c r="D835" s="51" t="s">
        <v>8</v>
      </c>
      <c r="E835" s="186">
        <v>2</v>
      </c>
      <c r="F835" s="126"/>
      <c r="G835" s="476"/>
    </row>
    <row r="836" spans="1:7" x14ac:dyDescent="0.25">
      <c r="A836" s="404"/>
      <c r="B836" s="432"/>
      <c r="C836" s="433"/>
      <c r="D836" s="432"/>
      <c r="E836" s="285"/>
      <c r="F836" s="431"/>
      <c r="G836" s="496"/>
    </row>
    <row r="837" spans="1:7" x14ac:dyDescent="0.25">
      <c r="A837" s="109" t="s">
        <v>1961</v>
      </c>
      <c r="B837" s="210" t="s">
        <v>2202</v>
      </c>
      <c r="C837" s="119" t="s">
        <v>263</v>
      </c>
      <c r="D837" s="142" t="s">
        <v>8</v>
      </c>
      <c r="E837" s="187">
        <v>8</v>
      </c>
      <c r="F837" s="123"/>
      <c r="G837" s="476"/>
    </row>
    <row r="838" spans="1:7" x14ac:dyDescent="0.25">
      <c r="A838" s="404"/>
      <c r="B838" s="432"/>
      <c r="C838" s="433"/>
      <c r="D838" s="432"/>
      <c r="E838" s="285"/>
      <c r="F838" s="431"/>
      <c r="G838" s="496"/>
    </row>
    <row r="839" spans="1:7" ht="24" x14ac:dyDescent="0.25">
      <c r="A839" s="109" t="s">
        <v>1962</v>
      </c>
      <c r="B839" s="210" t="s">
        <v>2201</v>
      </c>
      <c r="C839" s="119" t="s">
        <v>2357</v>
      </c>
      <c r="D839" s="142" t="s">
        <v>6</v>
      </c>
      <c r="E839" s="187">
        <v>160</v>
      </c>
      <c r="F839" s="123"/>
      <c r="G839" s="476"/>
    </row>
    <row r="840" spans="1:7" x14ac:dyDescent="0.25">
      <c r="A840" s="404"/>
      <c r="B840" s="432"/>
      <c r="C840" s="433"/>
      <c r="D840" s="432"/>
      <c r="E840" s="285"/>
      <c r="F840" s="431"/>
      <c r="G840" s="496"/>
    </row>
    <row r="841" spans="1:7" ht="36" x14ac:dyDescent="0.25">
      <c r="A841" s="109" t="s">
        <v>1963</v>
      </c>
      <c r="B841" s="210" t="s">
        <v>2272</v>
      </c>
      <c r="C841" s="119" t="s">
        <v>2305</v>
      </c>
      <c r="D841" s="142" t="s">
        <v>8</v>
      </c>
      <c r="E841" s="187">
        <v>5</v>
      </c>
      <c r="F841" s="123"/>
      <c r="G841" s="476"/>
    </row>
    <row r="842" spans="1:7" x14ac:dyDescent="0.25">
      <c r="A842" s="404"/>
      <c r="B842" s="432"/>
      <c r="C842" s="433"/>
      <c r="D842" s="432"/>
      <c r="E842" s="285"/>
      <c r="F842" s="431"/>
      <c r="G842" s="496"/>
    </row>
    <row r="843" spans="1:7" ht="48" x14ac:dyDescent="0.25">
      <c r="A843" s="109"/>
      <c r="B843" s="207" t="s">
        <v>2273</v>
      </c>
      <c r="C843" s="38" t="s">
        <v>2354</v>
      </c>
      <c r="D843" s="142"/>
      <c r="E843" s="187"/>
      <c r="F843" s="123"/>
      <c r="G843" s="498"/>
    </row>
    <row r="844" spans="1:7" x14ac:dyDescent="0.25">
      <c r="A844" s="404"/>
      <c r="B844" s="432"/>
      <c r="C844" s="433"/>
      <c r="D844" s="432"/>
      <c r="E844" s="285"/>
      <c r="F844" s="431"/>
      <c r="G844" s="496"/>
    </row>
    <row r="845" spans="1:7" x14ac:dyDescent="0.25">
      <c r="A845" s="109" t="s">
        <v>1966</v>
      </c>
      <c r="B845" s="51"/>
      <c r="C845" s="50" t="s">
        <v>330</v>
      </c>
      <c r="D845" s="142" t="s">
        <v>328</v>
      </c>
      <c r="E845" s="187">
        <v>2</v>
      </c>
      <c r="F845" s="123"/>
      <c r="G845" s="476"/>
    </row>
    <row r="846" spans="1:7" x14ac:dyDescent="0.25">
      <c r="A846" s="404"/>
      <c r="B846" s="432"/>
      <c r="C846" s="433"/>
      <c r="D846" s="432"/>
      <c r="E846" s="285"/>
      <c r="F846" s="431"/>
      <c r="G846" s="496"/>
    </row>
    <row r="847" spans="1:7" x14ac:dyDescent="0.25">
      <c r="A847" s="109" t="s">
        <v>1965</v>
      </c>
      <c r="B847" s="51"/>
      <c r="C847" s="50" t="s">
        <v>329</v>
      </c>
      <c r="D847" s="142" t="s">
        <v>328</v>
      </c>
      <c r="E847" s="187">
        <v>2</v>
      </c>
      <c r="F847" s="123"/>
      <c r="G847" s="476"/>
    </row>
    <row r="848" spans="1:7" x14ac:dyDescent="0.25">
      <c r="A848" s="404"/>
      <c r="B848" s="432"/>
      <c r="C848" s="433"/>
      <c r="D848" s="432"/>
      <c r="E848" s="285"/>
      <c r="F848" s="431"/>
      <c r="G848" s="496"/>
    </row>
    <row r="849" spans="1:7" ht="24" x14ac:dyDescent="0.25">
      <c r="A849" s="340" t="s">
        <v>1789</v>
      </c>
      <c r="B849" s="138" t="s">
        <v>327</v>
      </c>
      <c r="C849" s="60" t="s">
        <v>326</v>
      </c>
      <c r="D849" s="51"/>
      <c r="E849" s="186"/>
      <c r="F849" s="123"/>
      <c r="G849" s="498"/>
    </row>
    <row r="850" spans="1:7" x14ac:dyDescent="0.25">
      <c r="A850" s="404"/>
      <c r="B850" s="432"/>
      <c r="C850" s="433"/>
      <c r="D850" s="432"/>
      <c r="E850" s="285"/>
      <c r="F850" s="431"/>
      <c r="G850" s="496"/>
    </row>
    <row r="851" spans="1:7" ht="36" x14ac:dyDescent="0.25">
      <c r="A851" s="109" t="s">
        <v>1790</v>
      </c>
      <c r="B851" s="51" t="s">
        <v>5</v>
      </c>
      <c r="C851" s="50" t="s">
        <v>2355</v>
      </c>
      <c r="D851" s="51" t="s">
        <v>6</v>
      </c>
      <c r="E851" s="186">
        <v>5</v>
      </c>
      <c r="F851" s="123"/>
      <c r="G851" s="476"/>
    </row>
    <row r="852" spans="1:7" x14ac:dyDescent="0.25">
      <c r="A852" s="404"/>
      <c r="B852" s="432"/>
      <c r="C852" s="433"/>
      <c r="D852" s="432"/>
      <c r="E852" s="285"/>
      <c r="F852" s="431"/>
      <c r="G852" s="496"/>
    </row>
    <row r="853" spans="1:7" ht="24" x14ac:dyDescent="0.25">
      <c r="A853" s="109"/>
      <c r="B853" s="138" t="s">
        <v>205</v>
      </c>
      <c r="C853" s="60" t="s">
        <v>2356</v>
      </c>
      <c r="D853" s="51"/>
      <c r="E853" s="186"/>
      <c r="F853" s="123"/>
      <c r="G853" s="498"/>
    </row>
    <row r="854" spans="1:7" x14ac:dyDescent="0.25">
      <c r="A854" s="404"/>
      <c r="B854" s="432"/>
      <c r="C854" s="433"/>
      <c r="D854" s="432"/>
      <c r="E854" s="285"/>
      <c r="F854" s="431"/>
      <c r="G854" s="496"/>
    </row>
    <row r="855" spans="1:7" x14ac:dyDescent="0.25">
      <c r="A855" s="109" t="s">
        <v>1791</v>
      </c>
      <c r="B855" s="51"/>
      <c r="C855" s="50" t="s">
        <v>325</v>
      </c>
      <c r="D855" s="51" t="s">
        <v>8</v>
      </c>
      <c r="E855" s="186">
        <v>1</v>
      </c>
      <c r="F855" s="123"/>
      <c r="G855" s="476"/>
    </row>
    <row r="856" spans="1:7" x14ac:dyDescent="0.25">
      <c r="A856" s="404"/>
      <c r="B856" s="432"/>
      <c r="C856" s="433"/>
      <c r="D856" s="432"/>
      <c r="E856" s="285"/>
      <c r="F856" s="431"/>
      <c r="G856" s="496"/>
    </row>
    <row r="857" spans="1:7" x14ac:dyDescent="0.25">
      <c r="A857" s="109"/>
      <c r="B857" s="51"/>
      <c r="C857" s="50"/>
      <c r="D857" s="51"/>
      <c r="E857" s="186"/>
      <c r="F857" s="123"/>
      <c r="G857" s="476"/>
    </row>
    <row r="858" spans="1:7" x14ac:dyDescent="0.25">
      <c r="A858" s="404"/>
      <c r="B858" s="432"/>
      <c r="C858" s="433"/>
      <c r="D858" s="432"/>
      <c r="E858" s="285"/>
      <c r="F858" s="431"/>
      <c r="G858" s="496"/>
    </row>
    <row r="859" spans="1:7" x14ac:dyDescent="0.25">
      <c r="A859" s="109"/>
      <c r="B859" s="51"/>
      <c r="C859" s="50"/>
      <c r="D859" s="51"/>
      <c r="E859" s="186"/>
      <c r="F859" s="123"/>
      <c r="G859" s="476"/>
    </row>
    <row r="860" spans="1:7" x14ac:dyDescent="0.25">
      <c r="A860" s="404"/>
      <c r="B860" s="432"/>
      <c r="C860" s="433"/>
      <c r="D860" s="432"/>
      <c r="E860" s="285"/>
      <c r="F860" s="431"/>
      <c r="G860" s="496"/>
    </row>
    <row r="861" spans="1:7" ht="28.5" customHeight="1" x14ac:dyDescent="0.25">
      <c r="A861" s="526" t="s">
        <v>609</v>
      </c>
      <c r="B861" s="526"/>
      <c r="C861" s="526"/>
      <c r="D861" s="526"/>
      <c r="E861" s="526"/>
      <c r="F861" s="526"/>
      <c r="G861" s="330"/>
    </row>
    <row r="862" spans="1:7" ht="28.5" customHeight="1" x14ac:dyDescent="0.25">
      <c r="A862" s="526" t="s">
        <v>610</v>
      </c>
      <c r="B862" s="526"/>
      <c r="C862" s="526"/>
      <c r="D862" s="526"/>
      <c r="E862" s="526"/>
      <c r="F862" s="526"/>
      <c r="G862" s="330"/>
    </row>
    <row r="863" spans="1:7" x14ac:dyDescent="0.25">
      <c r="A863" s="109"/>
      <c r="B863" s="51"/>
      <c r="C863" s="50"/>
      <c r="D863" s="51"/>
      <c r="E863" s="186"/>
      <c r="F863" s="123"/>
      <c r="G863" s="476"/>
    </row>
    <row r="864" spans="1:7" x14ac:dyDescent="0.25">
      <c r="A864" s="404"/>
      <c r="B864" s="432"/>
      <c r="C864" s="433"/>
      <c r="D864" s="432"/>
      <c r="E864" s="285"/>
      <c r="F864" s="431"/>
      <c r="G864" s="496"/>
    </row>
    <row r="865" spans="1:7" ht="24" x14ac:dyDescent="0.25">
      <c r="A865" s="109"/>
      <c r="B865" s="138" t="s">
        <v>324</v>
      </c>
      <c r="C865" s="60" t="s">
        <v>323</v>
      </c>
      <c r="D865" s="51"/>
      <c r="E865" s="186"/>
      <c r="F865" s="123"/>
      <c r="G865" s="498"/>
    </row>
    <row r="866" spans="1:7" x14ac:dyDescent="0.25">
      <c r="A866" s="404"/>
      <c r="B866" s="432"/>
      <c r="C866" s="433"/>
      <c r="D866" s="432"/>
      <c r="E866" s="285"/>
      <c r="F866" s="431"/>
      <c r="G866" s="496"/>
    </row>
    <row r="867" spans="1:7" ht="36" x14ac:dyDescent="0.25">
      <c r="A867" s="109" t="s">
        <v>1792</v>
      </c>
      <c r="B867" s="51"/>
      <c r="C867" s="50" t="s">
        <v>2136</v>
      </c>
      <c r="D867" s="51" t="s">
        <v>8</v>
      </c>
      <c r="E867" s="186">
        <v>1</v>
      </c>
      <c r="F867" s="123"/>
      <c r="G867" s="476"/>
    </row>
    <row r="868" spans="1:7" x14ac:dyDescent="0.25">
      <c r="A868" s="404"/>
      <c r="B868" s="432"/>
      <c r="C868" s="433"/>
      <c r="D868" s="432"/>
      <c r="E868" s="285"/>
      <c r="F868" s="431"/>
      <c r="G868" s="496"/>
    </row>
    <row r="869" spans="1:7" ht="24" x14ac:dyDescent="0.25">
      <c r="A869" s="109" t="s">
        <v>1793</v>
      </c>
      <c r="B869" s="51" t="s">
        <v>322</v>
      </c>
      <c r="C869" s="50" t="s">
        <v>2276</v>
      </c>
      <c r="D869" s="51" t="s">
        <v>8</v>
      </c>
      <c r="E869" s="186">
        <v>1</v>
      </c>
      <c r="F869" s="123"/>
      <c r="G869" s="476"/>
    </row>
    <row r="870" spans="1:7" x14ac:dyDescent="0.25">
      <c r="A870" s="404"/>
      <c r="B870" s="432"/>
      <c r="C870" s="433"/>
      <c r="D870" s="432"/>
      <c r="E870" s="285"/>
      <c r="F870" s="431"/>
      <c r="G870" s="496"/>
    </row>
    <row r="871" spans="1:7" ht="24" x14ac:dyDescent="0.25">
      <c r="A871" s="109" t="s">
        <v>1794</v>
      </c>
      <c r="B871" s="51" t="s">
        <v>12</v>
      </c>
      <c r="C871" s="50" t="s">
        <v>2358</v>
      </c>
      <c r="D871" s="214" t="s">
        <v>88</v>
      </c>
      <c r="E871" s="186">
        <v>2</v>
      </c>
      <c r="F871" s="123"/>
      <c r="G871" s="476"/>
    </row>
    <row r="872" spans="1:7" x14ac:dyDescent="0.25">
      <c r="A872" s="404"/>
      <c r="B872" s="432"/>
      <c r="C872" s="433"/>
      <c r="D872" s="432"/>
      <c r="E872" s="285"/>
      <c r="F872" s="431"/>
      <c r="G872" s="496"/>
    </row>
    <row r="873" spans="1:7" ht="24" x14ac:dyDescent="0.25">
      <c r="A873" s="340" t="s">
        <v>1795</v>
      </c>
      <c r="B873" s="138" t="s">
        <v>321</v>
      </c>
      <c r="C873" s="60" t="s">
        <v>320</v>
      </c>
      <c r="D873" s="51"/>
      <c r="E873" s="186"/>
      <c r="F873" s="123"/>
      <c r="G873" s="498"/>
    </row>
    <row r="874" spans="1:7" x14ac:dyDescent="0.25">
      <c r="A874" s="404"/>
      <c r="B874" s="432"/>
      <c r="C874" s="433"/>
      <c r="D874" s="432"/>
      <c r="E874" s="285"/>
      <c r="F874" s="431"/>
      <c r="G874" s="496"/>
    </row>
    <row r="875" spans="1:7" ht="36" x14ac:dyDescent="0.25">
      <c r="A875" s="109" t="s">
        <v>1967</v>
      </c>
      <c r="B875" s="51" t="s">
        <v>18</v>
      </c>
      <c r="C875" s="50" t="s">
        <v>2279</v>
      </c>
      <c r="D875" s="214" t="s">
        <v>88</v>
      </c>
      <c r="E875" s="186">
        <v>2</v>
      </c>
      <c r="F875" s="123"/>
      <c r="G875" s="476"/>
    </row>
    <row r="876" spans="1:7" x14ac:dyDescent="0.25">
      <c r="A876" s="404"/>
      <c r="B876" s="432"/>
      <c r="C876" s="433"/>
      <c r="D876" s="432"/>
      <c r="E876" s="285"/>
      <c r="F876" s="431"/>
      <c r="G876" s="496"/>
    </row>
    <row r="877" spans="1:7" ht="24" x14ac:dyDescent="0.25">
      <c r="A877" s="340" t="s">
        <v>1796</v>
      </c>
      <c r="B877" s="138" t="s">
        <v>318</v>
      </c>
      <c r="C877" s="60" t="s">
        <v>317</v>
      </c>
      <c r="D877" s="51"/>
      <c r="E877" s="186"/>
      <c r="F877" s="123"/>
      <c r="G877" s="451"/>
    </row>
    <row r="878" spans="1:7" x14ac:dyDescent="0.25">
      <c r="A878" s="404"/>
      <c r="B878" s="432"/>
      <c r="C878" s="433"/>
      <c r="D878" s="432"/>
      <c r="E878" s="285"/>
      <c r="F878" s="431"/>
      <c r="G878" s="496"/>
    </row>
    <row r="879" spans="1:7" ht="48" x14ac:dyDescent="0.25">
      <c r="A879" s="109" t="s">
        <v>319</v>
      </c>
      <c r="B879" s="51" t="s">
        <v>18</v>
      </c>
      <c r="C879" s="50" t="s">
        <v>2280</v>
      </c>
      <c r="D879" s="214" t="s">
        <v>88</v>
      </c>
      <c r="E879" s="186">
        <v>2</v>
      </c>
      <c r="F879" s="123"/>
      <c r="G879" s="476"/>
    </row>
    <row r="880" spans="1:7" x14ac:dyDescent="0.25">
      <c r="A880" s="404"/>
      <c r="B880" s="432"/>
      <c r="C880" s="433"/>
      <c r="D880" s="432"/>
      <c r="E880" s="285"/>
      <c r="F880" s="431"/>
      <c r="G880" s="496"/>
    </row>
    <row r="881" spans="1:7" ht="24" x14ac:dyDescent="0.25">
      <c r="A881" s="340" t="s">
        <v>1797</v>
      </c>
      <c r="B881" s="138" t="s">
        <v>315</v>
      </c>
      <c r="C881" s="60" t="s">
        <v>314</v>
      </c>
      <c r="D881" s="51"/>
      <c r="E881" s="186"/>
      <c r="F881" s="123"/>
      <c r="G881" s="451"/>
    </row>
    <row r="882" spans="1:7" x14ac:dyDescent="0.25">
      <c r="A882" s="404"/>
      <c r="B882" s="432"/>
      <c r="C882" s="433"/>
      <c r="D882" s="432"/>
      <c r="E882" s="285"/>
      <c r="F882" s="431"/>
      <c r="G882" s="496"/>
    </row>
    <row r="883" spans="1:7" ht="25.5" x14ac:dyDescent="0.25">
      <c r="A883" s="109" t="s">
        <v>1798</v>
      </c>
      <c r="B883" s="51" t="s">
        <v>313</v>
      </c>
      <c r="C883" s="50" t="s">
        <v>2359</v>
      </c>
      <c r="D883" s="51" t="s">
        <v>2307</v>
      </c>
      <c r="E883" s="186">
        <v>7.5</v>
      </c>
      <c r="F883" s="123"/>
      <c r="G883" s="476"/>
    </row>
    <row r="884" spans="1:7" x14ac:dyDescent="0.25">
      <c r="A884" s="404"/>
      <c r="B884" s="432"/>
      <c r="C884" s="433"/>
      <c r="D884" s="432"/>
      <c r="E884" s="285"/>
      <c r="F884" s="431"/>
      <c r="G884" s="496"/>
    </row>
    <row r="885" spans="1:7" ht="24" x14ac:dyDescent="0.25">
      <c r="A885" s="109" t="s">
        <v>1968</v>
      </c>
      <c r="B885" s="51" t="s">
        <v>311</v>
      </c>
      <c r="C885" s="50" t="s">
        <v>310</v>
      </c>
      <c r="D885" s="51" t="s">
        <v>2307</v>
      </c>
      <c r="E885" s="186">
        <v>1</v>
      </c>
      <c r="F885" s="128"/>
      <c r="G885" s="476"/>
    </row>
    <row r="886" spans="1:7" x14ac:dyDescent="0.25">
      <c r="A886" s="404"/>
      <c r="B886" s="432"/>
      <c r="C886" s="433"/>
      <c r="D886" s="432"/>
      <c r="E886" s="285"/>
      <c r="F886" s="431"/>
      <c r="G886" s="496"/>
    </row>
    <row r="887" spans="1:7" x14ac:dyDescent="0.25">
      <c r="A887" s="109"/>
      <c r="B887" s="51"/>
      <c r="C887" s="50"/>
      <c r="D887" s="51"/>
      <c r="E887" s="186"/>
      <c r="F887" s="128"/>
      <c r="G887" s="476"/>
    </row>
    <row r="888" spans="1:7" x14ac:dyDescent="0.25">
      <c r="A888" s="404"/>
      <c r="B888" s="432"/>
      <c r="C888" s="433"/>
      <c r="D888" s="432"/>
      <c r="E888" s="285"/>
      <c r="F888" s="431"/>
      <c r="G888" s="496"/>
    </row>
    <row r="889" spans="1:7" x14ac:dyDescent="0.25">
      <c r="A889" s="109"/>
      <c r="B889" s="51"/>
      <c r="C889" s="50"/>
      <c r="D889" s="51"/>
      <c r="E889" s="186"/>
      <c r="F889" s="128"/>
      <c r="G889" s="476"/>
    </row>
    <row r="890" spans="1:7" x14ac:dyDescent="0.25">
      <c r="A890" s="404"/>
      <c r="B890" s="432"/>
      <c r="C890" s="433"/>
      <c r="D890" s="432"/>
      <c r="E890" s="285"/>
      <c r="F890" s="431"/>
      <c r="G890" s="496"/>
    </row>
    <row r="891" spans="1:7" x14ac:dyDescent="0.25">
      <c r="A891" s="109"/>
      <c r="B891" s="51"/>
      <c r="C891" s="50"/>
      <c r="D891" s="51"/>
      <c r="E891" s="186"/>
      <c r="F891" s="128"/>
      <c r="G891" s="476"/>
    </row>
    <row r="892" spans="1:7" x14ac:dyDescent="0.25">
      <c r="A892" s="404"/>
      <c r="B892" s="432"/>
      <c r="C892" s="433"/>
      <c r="D892" s="432"/>
      <c r="E892" s="285"/>
      <c r="F892" s="431"/>
      <c r="G892" s="496"/>
    </row>
    <row r="893" spans="1:7" x14ac:dyDescent="0.25">
      <c r="A893" s="109"/>
      <c r="B893" s="51"/>
      <c r="C893" s="50"/>
      <c r="D893" s="51"/>
      <c r="E893" s="186"/>
      <c r="F893" s="128"/>
      <c r="G893" s="476"/>
    </row>
    <row r="894" spans="1:7" x14ac:dyDescent="0.25">
      <c r="A894" s="404"/>
      <c r="B894" s="432"/>
      <c r="C894" s="433"/>
      <c r="D894" s="432"/>
      <c r="E894" s="285"/>
      <c r="F894" s="431"/>
      <c r="G894" s="496"/>
    </row>
    <row r="895" spans="1:7" x14ac:dyDescent="0.25">
      <c r="A895" s="109"/>
      <c r="B895" s="51"/>
      <c r="C895" s="50"/>
      <c r="D895" s="51"/>
      <c r="E895" s="186"/>
      <c r="F895" s="128"/>
      <c r="G895" s="476"/>
    </row>
    <row r="896" spans="1:7" x14ac:dyDescent="0.25">
      <c r="A896" s="404"/>
      <c r="B896" s="432"/>
      <c r="C896" s="433"/>
      <c r="D896" s="432"/>
      <c r="E896" s="285"/>
      <c r="F896" s="431"/>
      <c r="G896" s="496"/>
    </row>
    <row r="897" spans="1:8" x14ac:dyDescent="0.25">
      <c r="A897" s="109"/>
      <c r="B897" s="51"/>
      <c r="C897" s="50"/>
      <c r="D897" s="51"/>
      <c r="E897" s="186"/>
      <c r="F897" s="128"/>
      <c r="G897" s="476"/>
    </row>
    <row r="898" spans="1:8" x14ac:dyDescent="0.25">
      <c r="A898" s="404"/>
      <c r="B898" s="432"/>
      <c r="C898" s="433"/>
      <c r="D898" s="432"/>
      <c r="E898" s="285"/>
      <c r="F898" s="431"/>
      <c r="G898" s="496"/>
    </row>
    <row r="899" spans="1:8" x14ac:dyDescent="0.25">
      <c r="A899" s="109"/>
      <c r="B899" s="51"/>
      <c r="C899" s="50"/>
      <c r="D899" s="51"/>
      <c r="E899" s="186"/>
      <c r="F899" s="128"/>
      <c r="G899" s="476"/>
    </row>
    <row r="900" spans="1:8" x14ac:dyDescent="0.25">
      <c r="A900" s="404"/>
      <c r="B900" s="432"/>
      <c r="C900" s="433"/>
      <c r="D900" s="432"/>
      <c r="E900" s="285"/>
      <c r="F900" s="431"/>
      <c r="G900" s="496"/>
    </row>
    <row r="901" spans="1:8" s="21" customFormat="1" ht="28.5" customHeight="1" x14ac:dyDescent="0.25">
      <c r="A901" s="526" t="s">
        <v>1998</v>
      </c>
      <c r="B901" s="526"/>
      <c r="C901" s="526"/>
      <c r="D901" s="526"/>
      <c r="E901" s="526"/>
      <c r="F901" s="526"/>
      <c r="G901" s="345"/>
      <c r="H901" s="182"/>
    </row>
    <row r="902" spans="1:8" x14ac:dyDescent="0.25">
      <c r="A902" s="404"/>
      <c r="B902" s="432"/>
      <c r="C902" s="433"/>
      <c r="D902" s="432"/>
      <c r="E902" s="285"/>
      <c r="F902" s="431"/>
      <c r="G902" s="496"/>
    </row>
    <row r="903" spans="1:8" x14ac:dyDescent="0.25">
      <c r="A903" s="329" t="s">
        <v>1799</v>
      </c>
      <c r="B903" s="207"/>
      <c r="C903" s="284" t="s">
        <v>2111</v>
      </c>
      <c r="D903" s="207"/>
      <c r="E903" s="208"/>
      <c r="F903" s="123"/>
      <c r="G903" s="494"/>
    </row>
    <row r="904" spans="1:8" x14ac:dyDescent="0.25">
      <c r="A904" s="404"/>
      <c r="B904" s="432"/>
      <c r="C904" s="433"/>
      <c r="D904" s="432"/>
      <c r="E904" s="285"/>
      <c r="F904" s="431"/>
      <c r="G904" s="496"/>
    </row>
    <row r="905" spans="1:8" ht="24" x14ac:dyDescent="0.25">
      <c r="A905" s="231" t="s">
        <v>309</v>
      </c>
      <c r="B905" s="207" t="s">
        <v>14</v>
      </c>
      <c r="C905" s="38" t="s">
        <v>241</v>
      </c>
      <c r="D905" s="207"/>
      <c r="E905" s="186"/>
      <c r="F905" s="122"/>
      <c r="G905" s="209"/>
    </row>
    <row r="906" spans="1:8" x14ac:dyDescent="0.25">
      <c r="A906" s="404"/>
      <c r="B906" s="432"/>
      <c r="C906" s="433"/>
      <c r="D906" s="432"/>
      <c r="E906" s="285"/>
      <c r="F906" s="431"/>
      <c r="G906" s="496"/>
    </row>
    <row r="907" spans="1:8" ht="13.5" x14ac:dyDescent="0.25">
      <c r="A907" s="108" t="s">
        <v>1800</v>
      </c>
      <c r="B907" s="210" t="s">
        <v>2203</v>
      </c>
      <c r="C907" s="119" t="s">
        <v>292</v>
      </c>
      <c r="D907" s="210" t="s">
        <v>87</v>
      </c>
      <c r="E907" s="211">
        <v>60</v>
      </c>
      <c r="F907" s="122"/>
      <c r="G907" s="476"/>
    </row>
    <row r="908" spans="1:8" x14ac:dyDescent="0.25">
      <c r="A908" s="404"/>
      <c r="B908" s="432"/>
      <c r="C908" s="433"/>
      <c r="D908" s="432"/>
      <c r="E908" s="285"/>
      <c r="F908" s="431"/>
      <c r="G908" s="496"/>
    </row>
    <row r="909" spans="1:8" ht="24" x14ac:dyDescent="0.25">
      <c r="A909" s="340" t="s">
        <v>1801</v>
      </c>
      <c r="B909" s="138" t="s">
        <v>2207</v>
      </c>
      <c r="C909" s="60" t="s">
        <v>2208</v>
      </c>
      <c r="D909" s="52"/>
      <c r="E909" s="187"/>
      <c r="F909" s="123"/>
      <c r="G909" s="495"/>
    </row>
    <row r="910" spans="1:8" x14ac:dyDescent="0.25">
      <c r="A910" s="404"/>
      <c r="B910" s="205"/>
      <c r="C910" s="405"/>
      <c r="D910" s="205"/>
      <c r="E910" s="285"/>
      <c r="F910" s="431"/>
      <c r="G910" s="496"/>
    </row>
    <row r="911" spans="1:8" ht="24" x14ac:dyDescent="0.25">
      <c r="A911" s="109" t="s">
        <v>1802</v>
      </c>
      <c r="B911" s="51" t="s">
        <v>2211</v>
      </c>
      <c r="C911" s="50" t="s">
        <v>2212</v>
      </c>
      <c r="D911" s="142" t="s">
        <v>87</v>
      </c>
      <c r="E911" s="187">
        <v>20</v>
      </c>
      <c r="F911" s="123"/>
      <c r="G911" s="476"/>
    </row>
    <row r="912" spans="1:8" x14ac:dyDescent="0.25">
      <c r="A912" s="404"/>
      <c r="B912" s="205"/>
      <c r="C912" s="405"/>
      <c r="D912" s="205"/>
      <c r="E912" s="285"/>
      <c r="F912" s="431"/>
      <c r="G912" s="496"/>
    </row>
    <row r="913" spans="1:7" ht="36" x14ac:dyDescent="0.25">
      <c r="A913" s="109" t="s">
        <v>1803</v>
      </c>
      <c r="B913" s="51" t="s">
        <v>11</v>
      </c>
      <c r="C913" s="50" t="s">
        <v>2209</v>
      </c>
      <c r="D913" s="214" t="s">
        <v>88</v>
      </c>
      <c r="E913" s="187">
        <v>55</v>
      </c>
      <c r="F913" s="123"/>
      <c r="G913" s="476"/>
    </row>
    <row r="914" spans="1:7" x14ac:dyDescent="0.25">
      <c r="A914" s="404"/>
      <c r="B914" s="432"/>
      <c r="C914" s="433"/>
      <c r="D914" s="432"/>
      <c r="E914" s="285"/>
      <c r="F914" s="431"/>
      <c r="G914" s="496"/>
    </row>
    <row r="915" spans="1:7" x14ac:dyDescent="0.25">
      <c r="A915" s="109"/>
      <c r="B915" s="51"/>
      <c r="C915" s="60" t="s">
        <v>2360</v>
      </c>
      <c r="D915" s="52"/>
      <c r="E915" s="187"/>
      <c r="F915" s="123"/>
      <c r="G915" s="495"/>
    </row>
    <row r="916" spans="1:7" x14ac:dyDescent="0.25">
      <c r="A916" s="404"/>
      <c r="B916" s="432"/>
      <c r="C916" s="433"/>
      <c r="D916" s="432"/>
      <c r="E916" s="285"/>
      <c r="F916" s="431"/>
      <c r="G916" s="496"/>
    </row>
    <row r="917" spans="1:7" ht="13.5" x14ac:dyDescent="0.25">
      <c r="A917" s="109" t="s">
        <v>1804</v>
      </c>
      <c r="B917" s="52"/>
      <c r="C917" s="50" t="s">
        <v>291</v>
      </c>
      <c r="D917" s="214" t="s">
        <v>88</v>
      </c>
      <c r="E917" s="187">
        <v>10</v>
      </c>
      <c r="F917" s="123"/>
      <c r="G917" s="476"/>
    </row>
    <row r="918" spans="1:7" x14ac:dyDescent="0.25">
      <c r="A918" s="404"/>
      <c r="B918" s="432"/>
      <c r="C918" s="433"/>
      <c r="D918" s="432"/>
      <c r="E918" s="285"/>
      <c r="F918" s="431"/>
      <c r="G918" s="496"/>
    </row>
    <row r="919" spans="1:7" ht="13.5" x14ac:dyDescent="0.25">
      <c r="A919" s="109" t="s">
        <v>1805</v>
      </c>
      <c r="B919" s="52"/>
      <c r="C919" s="50" t="s">
        <v>290</v>
      </c>
      <c r="D919" s="214" t="s">
        <v>88</v>
      </c>
      <c r="E919" s="187">
        <v>5</v>
      </c>
      <c r="F919" s="123"/>
      <c r="G919" s="476"/>
    </row>
    <row r="920" spans="1:7" x14ac:dyDescent="0.25">
      <c r="A920" s="404"/>
      <c r="B920" s="432"/>
      <c r="C920" s="433"/>
      <c r="D920" s="467"/>
      <c r="E920" s="285"/>
      <c r="F920" s="431"/>
      <c r="G920" s="496"/>
    </row>
    <row r="921" spans="1:7" ht="27.75" customHeight="1" x14ac:dyDescent="0.25">
      <c r="A921" s="109" t="s">
        <v>1806</v>
      </c>
      <c r="B921" s="51" t="s">
        <v>83</v>
      </c>
      <c r="C921" s="50" t="s">
        <v>289</v>
      </c>
      <c r="D921" s="214" t="s">
        <v>88</v>
      </c>
      <c r="E921" s="187">
        <v>20</v>
      </c>
      <c r="F921" s="123"/>
      <c r="G921" s="476"/>
    </row>
    <row r="922" spans="1:7" x14ac:dyDescent="0.25">
      <c r="A922" s="404"/>
      <c r="B922" s="432"/>
      <c r="C922" s="433"/>
      <c r="D922" s="432"/>
      <c r="E922" s="285"/>
      <c r="F922" s="431"/>
      <c r="G922" s="496"/>
    </row>
    <row r="923" spans="1:7" ht="24" x14ac:dyDescent="0.25">
      <c r="A923" s="109" t="s">
        <v>1807</v>
      </c>
      <c r="B923" s="51" t="s">
        <v>288</v>
      </c>
      <c r="C923" s="50" t="s">
        <v>287</v>
      </c>
      <c r="D923" s="142" t="s">
        <v>87</v>
      </c>
      <c r="E923" s="187">
        <v>10</v>
      </c>
      <c r="F923" s="123"/>
      <c r="G923" s="476"/>
    </row>
    <row r="924" spans="1:7" x14ac:dyDescent="0.25">
      <c r="A924" s="404"/>
      <c r="B924" s="432"/>
      <c r="C924" s="433"/>
      <c r="D924" s="432"/>
      <c r="E924" s="285"/>
      <c r="F924" s="431"/>
      <c r="G924" s="496"/>
    </row>
    <row r="925" spans="1:7" ht="36" x14ac:dyDescent="0.25">
      <c r="A925" s="109" t="s">
        <v>1969</v>
      </c>
      <c r="B925" s="51" t="s">
        <v>2213</v>
      </c>
      <c r="C925" s="50" t="s">
        <v>285</v>
      </c>
      <c r="D925" s="142" t="s">
        <v>87</v>
      </c>
      <c r="E925" s="187">
        <v>10</v>
      </c>
      <c r="F925" s="123"/>
      <c r="G925" s="476"/>
    </row>
    <row r="926" spans="1:7" ht="11.1" customHeight="1" x14ac:dyDescent="0.25">
      <c r="A926" s="404"/>
      <c r="B926" s="432"/>
      <c r="C926" s="433"/>
      <c r="D926" s="432"/>
      <c r="E926" s="285"/>
      <c r="F926" s="431"/>
      <c r="G926" s="496"/>
    </row>
    <row r="927" spans="1:7" ht="24" x14ac:dyDescent="0.25">
      <c r="A927" s="227" t="s">
        <v>1808</v>
      </c>
      <c r="B927" s="207" t="s">
        <v>627</v>
      </c>
      <c r="C927" s="38" t="s">
        <v>308</v>
      </c>
      <c r="D927" s="210"/>
      <c r="E927" s="219"/>
      <c r="F927" s="123"/>
      <c r="G927" s="209"/>
    </row>
    <row r="928" spans="1:7" ht="11.1" customHeight="1" x14ac:dyDescent="0.25">
      <c r="A928" s="404"/>
      <c r="B928" s="432"/>
      <c r="C928" s="433"/>
      <c r="D928" s="432"/>
      <c r="E928" s="285"/>
      <c r="F928" s="431"/>
      <c r="G928" s="496"/>
    </row>
    <row r="929" spans="1:8" ht="24" x14ac:dyDescent="0.25">
      <c r="A929" s="108"/>
      <c r="B929" s="153" t="s">
        <v>629</v>
      </c>
      <c r="C929" s="469" t="s">
        <v>2216</v>
      </c>
      <c r="D929" s="52"/>
      <c r="E929" s="187"/>
      <c r="F929" s="123"/>
      <c r="G929" s="499"/>
    </row>
    <row r="930" spans="1:8" ht="11.1" customHeight="1" x14ac:dyDescent="0.25">
      <c r="A930" s="404"/>
      <c r="B930" s="432"/>
      <c r="C930" s="433"/>
      <c r="D930" s="432"/>
      <c r="E930" s="285"/>
      <c r="F930" s="431"/>
      <c r="G930" s="496"/>
    </row>
    <row r="931" spans="1:8" ht="108" x14ac:dyDescent="0.25">
      <c r="A931" s="109"/>
      <c r="B931" s="51"/>
      <c r="C931" s="67" t="s">
        <v>2361</v>
      </c>
      <c r="D931" s="52"/>
      <c r="E931" s="186"/>
      <c r="F931" s="124"/>
      <c r="G931" s="497"/>
    </row>
    <row r="932" spans="1:8" ht="11.1" customHeight="1" x14ac:dyDescent="0.25">
      <c r="A932" s="404"/>
      <c r="B932" s="432"/>
      <c r="C932" s="433"/>
      <c r="D932" s="432"/>
      <c r="E932" s="285"/>
      <c r="F932" s="431"/>
      <c r="G932" s="496"/>
    </row>
    <row r="933" spans="1:8" x14ac:dyDescent="0.25">
      <c r="A933" s="109" t="s">
        <v>1809</v>
      </c>
      <c r="B933" s="52"/>
      <c r="C933" s="50" t="s">
        <v>2315</v>
      </c>
      <c r="D933" s="51" t="s">
        <v>6</v>
      </c>
      <c r="E933" s="219">
        <v>5</v>
      </c>
      <c r="F933" s="124"/>
      <c r="G933" s="476"/>
    </row>
    <row r="934" spans="1:8" ht="11.1" customHeight="1" x14ac:dyDescent="0.25">
      <c r="A934" s="404"/>
      <c r="B934" s="432"/>
      <c r="C934" s="433"/>
      <c r="D934" s="432"/>
      <c r="E934" s="285"/>
      <c r="F934" s="431"/>
      <c r="G934" s="496"/>
    </row>
    <row r="935" spans="1:8" x14ac:dyDescent="0.25">
      <c r="A935" s="109" t="s">
        <v>1810</v>
      </c>
      <c r="B935" s="52"/>
      <c r="C935" s="50" t="s">
        <v>2290</v>
      </c>
      <c r="D935" s="51" t="s">
        <v>6</v>
      </c>
      <c r="E935" s="186">
        <v>10</v>
      </c>
      <c r="F935" s="124"/>
      <c r="G935" s="476"/>
    </row>
    <row r="936" spans="1:8" ht="11.1" customHeight="1" x14ac:dyDescent="0.25">
      <c r="A936" s="404"/>
      <c r="B936" s="432"/>
      <c r="C936" s="433"/>
      <c r="D936" s="432"/>
      <c r="E936" s="285"/>
      <c r="F936" s="431"/>
      <c r="G936" s="496"/>
    </row>
    <row r="937" spans="1:8" x14ac:dyDescent="0.25">
      <c r="A937" s="109" t="s">
        <v>1811</v>
      </c>
      <c r="B937" s="52"/>
      <c r="C937" s="50" t="s">
        <v>305</v>
      </c>
      <c r="D937" s="51" t="s">
        <v>6</v>
      </c>
      <c r="E937" s="186">
        <v>5</v>
      </c>
      <c r="F937" s="124"/>
      <c r="G937" s="476"/>
    </row>
    <row r="938" spans="1:8" ht="11.1" customHeight="1" x14ac:dyDescent="0.25">
      <c r="A938" s="404"/>
      <c r="B938" s="432"/>
      <c r="C938" s="433"/>
      <c r="D938" s="432"/>
      <c r="E938" s="285"/>
      <c r="F938" s="431"/>
      <c r="G938" s="496"/>
    </row>
    <row r="939" spans="1:8" s="21" customFormat="1" ht="28.5" customHeight="1" x14ac:dyDescent="0.25">
      <c r="A939" s="526" t="s">
        <v>609</v>
      </c>
      <c r="B939" s="526"/>
      <c r="C939" s="526"/>
      <c r="D939" s="526"/>
      <c r="E939" s="526"/>
      <c r="F939" s="526"/>
      <c r="G939" s="330"/>
      <c r="H939" s="182"/>
    </row>
    <row r="940" spans="1:8" s="21" customFormat="1" ht="28.5" customHeight="1" x14ac:dyDescent="0.25">
      <c r="A940" s="526" t="s">
        <v>610</v>
      </c>
      <c r="B940" s="526"/>
      <c r="C940" s="526"/>
      <c r="D940" s="526"/>
      <c r="E940" s="526"/>
      <c r="F940" s="526"/>
      <c r="G940" s="330"/>
      <c r="H940" s="182"/>
    </row>
    <row r="941" spans="1:8" x14ac:dyDescent="0.25">
      <c r="A941" s="404"/>
      <c r="B941" s="432"/>
      <c r="C941" s="433"/>
      <c r="D941" s="432"/>
      <c r="E941" s="285"/>
      <c r="F941" s="431"/>
      <c r="G941" s="496"/>
    </row>
    <row r="942" spans="1:8" x14ac:dyDescent="0.25">
      <c r="A942" s="109"/>
      <c r="B942" s="51"/>
      <c r="C942" s="67" t="s">
        <v>2362</v>
      </c>
      <c r="D942" s="52"/>
      <c r="E942" s="186"/>
      <c r="F942" s="124"/>
      <c r="G942" s="497"/>
    </row>
    <row r="943" spans="1:8" x14ac:dyDescent="0.25">
      <c r="A943" s="404"/>
      <c r="B943" s="432"/>
      <c r="C943" s="433"/>
      <c r="D943" s="432"/>
      <c r="E943" s="285"/>
      <c r="F943" s="431"/>
      <c r="G943" s="496"/>
    </row>
    <row r="944" spans="1:8" ht="13.5" x14ac:dyDescent="0.25">
      <c r="A944" s="109" t="s">
        <v>1812</v>
      </c>
      <c r="B944" s="52"/>
      <c r="C944" s="50" t="s">
        <v>304</v>
      </c>
      <c r="D944" s="214" t="s">
        <v>88</v>
      </c>
      <c r="E944" s="186">
        <v>5</v>
      </c>
      <c r="F944" s="124"/>
      <c r="G944" s="476"/>
    </row>
    <row r="945" spans="1:7" x14ac:dyDescent="0.25">
      <c r="A945" s="404"/>
      <c r="B945" s="432"/>
      <c r="C945" s="433"/>
      <c r="D945" s="432"/>
      <c r="E945" s="285"/>
      <c r="F945" s="431"/>
      <c r="G945" s="496"/>
    </row>
    <row r="946" spans="1:7" ht="13.5" x14ac:dyDescent="0.25">
      <c r="A946" s="109" t="s">
        <v>1970</v>
      </c>
      <c r="B946" s="52"/>
      <c r="C946" s="50" t="s">
        <v>290</v>
      </c>
      <c r="D946" s="214" t="s">
        <v>88</v>
      </c>
      <c r="E946" s="186">
        <v>2.5</v>
      </c>
      <c r="F946" s="124"/>
      <c r="G946" s="476"/>
    </row>
    <row r="947" spans="1:7" x14ac:dyDescent="0.25">
      <c r="A947" s="404"/>
      <c r="B947" s="432"/>
      <c r="C947" s="433"/>
      <c r="D947" s="432"/>
      <c r="E947" s="285"/>
      <c r="F947" s="431"/>
      <c r="G947" s="496"/>
    </row>
    <row r="948" spans="1:7" ht="13.5" x14ac:dyDescent="0.25">
      <c r="A948" s="109" t="s">
        <v>1971</v>
      </c>
      <c r="B948" s="52"/>
      <c r="C948" s="50" t="s">
        <v>303</v>
      </c>
      <c r="D948" s="214" t="s">
        <v>88</v>
      </c>
      <c r="E948" s="186">
        <v>2.5</v>
      </c>
      <c r="F948" s="124"/>
      <c r="G948" s="476"/>
    </row>
    <row r="949" spans="1:7" x14ac:dyDescent="0.25">
      <c r="A949" s="404"/>
      <c r="B949" s="432"/>
      <c r="C949" s="433"/>
      <c r="D949" s="432"/>
      <c r="E949" s="285"/>
      <c r="F949" s="431"/>
      <c r="G949" s="496"/>
    </row>
    <row r="950" spans="1:7" ht="24" x14ac:dyDescent="0.25">
      <c r="A950" s="109" t="s">
        <v>1972</v>
      </c>
      <c r="B950" s="51"/>
      <c r="C950" s="50" t="s">
        <v>302</v>
      </c>
      <c r="D950" s="214" t="s">
        <v>88</v>
      </c>
      <c r="E950" s="186">
        <v>3.5</v>
      </c>
      <c r="F950" s="124"/>
      <c r="G950" s="476"/>
    </row>
    <row r="951" spans="1:7" x14ac:dyDescent="0.25">
      <c r="A951" s="404"/>
      <c r="B951" s="432"/>
      <c r="C951" s="433"/>
      <c r="D951" s="432"/>
      <c r="E951" s="285"/>
      <c r="F951" s="431"/>
      <c r="G951" s="496"/>
    </row>
    <row r="952" spans="1:7" x14ac:dyDescent="0.25">
      <c r="A952" s="109"/>
      <c r="B952" s="138" t="s">
        <v>18</v>
      </c>
      <c r="C952" s="60" t="s">
        <v>171</v>
      </c>
      <c r="D952" s="52"/>
      <c r="E952" s="186"/>
      <c r="F952" s="124"/>
      <c r="G952" s="497"/>
    </row>
    <row r="953" spans="1:7" x14ac:dyDescent="0.25">
      <c r="A953" s="404"/>
      <c r="B953" s="432"/>
      <c r="C953" s="433"/>
      <c r="D953" s="432"/>
      <c r="E953" s="285"/>
      <c r="F953" s="431"/>
      <c r="G953" s="496"/>
    </row>
    <row r="954" spans="1:7" x14ac:dyDescent="0.25">
      <c r="A954" s="109"/>
      <c r="B954" s="66" t="s">
        <v>156</v>
      </c>
      <c r="C954" s="67" t="s">
        <v>19</v>
      </c>
      <c r="D954" s="52"/>
      <c r="E954" s="186"/>
      <c r="F954" s="124"/>
      <c r="G954" s="497"/>
    </row>
    <row r="955" spans="1:7" x14ac:dyDescent="0.25">
      <c r="A955" s="404"/>
      <c r="B955" s="432"/>
      <c r="C955" s="433"/>
      <c r="D955" s="432"/>
      <c r="E955" s="285"/>
      <c r="F955" s="431"/>
      <c r="G955" s="496"/>
    </row>
    <row r="956" spans="1:7" ht="36" x14ac:dyDescent="0.25">
      <c r="A956" s="109" t="s">
        <v>1973</v>
      </c>
      <c r="B956" s="52"/>
      <c r="C956" s="50" t="s">
        <v>301</v>
      </c>
      <c r="D956" s="214" t="s">
        <v>88</v>
      </c>
      <c r="E956" s="186">
        <v>10</v>
      </c>
      <c r="F956" s="124"/>
      <c r="G956" s="476"/>
    </row>
    <row r="957" spans="1:7" x14ac:dyDescent="0.25">
      <c r="A957" s="404"/>
      <c r="B957" s="432"/>
      <c r="C957" s="433"/>
      <c r="D957" s="432"/>
      <c r="E957" s="285"/>
      <c r="F957" s="431"/>
      <c r="G957" s="496"/>
    </row>
    <row r="958" spans="1:7" ht="24" x14ac:dyDescent="0.25">
      <c r="A958" s="340" t="s">
        <v>1813</v>
      </c>
      <c r="B958" s="138" t="s">
        <v>284</v>
      </c>
      <c r="C958" s="60" t="s">
        <v>283</v>
      </c>
      <c r="D958" s="52"/>
      <c r="E958" s="186"/>
      <c r="F958" s="124"/>
      <c r="G958" s="497"/>
    </row>
    <row r="959" spans="1:7" x14ac:dyDescent="0.25">
      <c r="A959" s="404"/>
      <c r="B959" s="432"/>
      <c r="C959" s="433"/>
      <c r="D959" s="432"/>
      <c r="E959" s="285"/>
      <c r="F959" s="431"/>
      <c r="G959" s="496"/>
    </row>
    <row r="960" spans="1:7" ht="24" x14ac:dyDescent="0.25">
      <c r="A960" s="109" t="s">
        <v>1814</v>
      </c>
      <c r="B960" s="52" t="s">
        <v>5</v>
      </c>
      <c r="C960" s="50" t="s">
        <v>282</v>
      </c>
      <c r="D960" s="142" t="s">
        <v>87</v>
      </c>
      <c r="E960" s="186">
        <v>10</v>
      </c>
      <c r="F960" s="124"/>
      <c r="G960" s="476"/>
    </row>
    <row r="961" spans="1:9" x14ac:dyDescent="0.25">
      <c r="A961" s="404"/>
      <c r="B961" s="432"/>
      <c r="C961" s="433"/>
      <c r="D961" s="432"/>
      <c r="E961" s="285"/>
      <c r="F961" s="431"/>
      <c r="G961" s="496"/>
    </row>
    <row r="962" spans="1:9" ht="60" x14ac:dyDescent="0.25">
      <c r="A962" s="109"/>
      <c r="B962" s="51" t="s">
        <v>7</v>
      </c>
      <c r="C962" s="50" t="s">
        <v>281</v>
      </c>
      <c r="D962" s="52"/>
      <c r="E962" s="186"/>
      <c r="F962" s="124"/>
      <c r="G962" s="497"/>
    </row>
    <row r="963" spans="1:9" x14ac:dyDescent="0.25">
      <c r="A963" s="404"/>
      <c r="B963" s="432"/>
      <c r="C963" s="433"/>
      <c r="D963" s="432"/>
      <c r="E963" s="285"/>
      <c r="F963" s="431"/>
      <c r="G963" s="496"/>
    </row>
    <row r="964" spans="1:9" ht="13.5" x14ac:dyDescent="0.25">
      <c r="A964" s="109" t="s">
        <v>1815</v>
      </c>
      <c r="B964" s="52"/>
      <c r="C964" s="50" t="s">
        <v>280</v>
      </c>
      <c r="D964" s="214" t="s">
        <v>88</v>
      </c>
      <c r="E964" s="186">
        <v>15</v>
      </c>
      <c r="F964" s="124"/>
      <c r="G964" s="476"/>
    </row>
    <row r="965" spans="1:9" x14ac:dyDescent="0.25">
      <c r="A965" s="404"/>
      <c r="B965" s="432"/>
      <c r="C965" s="433"/>
      <c r="D965" s="432"/>
      <c r="E965" s="285"/>
      <c r="F965" s="431"/>
      <c r="G965" s="496"/>
    </row>
    <row r="966" spans="1:9" ht="13.5" x14ac:dyDescent="0.25">
      <c r="A966" s="109" t="s">
        <v>1816</v>
      </c>
      <c r="B966" s="52"/>
      <c r="C966" s="50" t="s">
        <v>279</v>
      </c>
      <c r="D966" s="214" t="s">
        <v>88</v>
      </c>
      <c r="E966" s="186">
        <v>15</v>
      </c>
      <c r="F966" s="124"/>
      <c r="G966" s="476"/>
    </row>
    <row r="967" spans="1:9" x14ac:dyDescent="0.25">
      <c r="A967" s="404"/>
      <c r="B967" s="432"/>
      <c r="C967" s="433"/>
      <c r="D967" s="432"/>
      <c r="E967" s="285"/>
      <c r="F967" s="431"/>
      <c r="G967" s="496"/>
    </row>
    <row r="968" spans="1:9" ht="13.5" x14ac:dyDescent="0.25">
      <c r="A968" s="109" t="s">
        <v>1817</v>
      </c>
      <c r="B968" s="52"/>
      <c r="C968" s="50" t="s">
        <v>278</v>
      </c>
      <c r="D968" s="214" t="s">
        <v>88</v>
      </c>
      <c r="E968" s="186">
        <v>5</v>
      </c>
      <c r="F968" s="124"/>
      <c r="G968" s="476"/>
    </row>
    <row r="969" spans="1:9" x14ac:dyDescent="0.25">
      <c r="A969" s="404"/>
      <c r="B969" s="432"/>
      <c r="C969" s="433"/>
      <c r="D969" s="432"/>
      <c r="E969" s="285"/>
      <c r="F969" s="431"/>
      <c r="G969" s="496"/>
    </row>
    <row r="970" spans="1:9" ht="13.5" x14ac:dyDescent="0.25">
      <c r="A970" s="109" t="s">
        <v>1818</v>
      </c>
      <c r="B970" s="52"/>
      <c r="C970" s="50" t="s">
        <v>276</v>
      </c>
      <c r="D970" s="214" t="s">
        <v>88</v>
      </c>
      <c r="E970" s="186">
        <v>8</v>
      </c>
      <c r="F970" s="124"/>
      <c r="G970" s="476"/>
    </row>
    <row r="971" spans="1:9" x14ac:dyDescent="0.25">
      <c r="A971" s="404"/>
      <c r="B971" s="432"/>
      <c r="C971" s="433"/>
      <c r="D971" s="432"/>
      <c r="E971" s="285"/>
      <c r="F971" s="431"/>
      <c r="G971" s="496"/>
    </row>
    <row r="972" spans="1:9" ht="13.5" x14ac:dyDescent="0.25">
      <c r="A972" s="109" t="s">
        <v>1974</v>
      </c>
      <c r="B972" s="51" t="s">
        <v>205</v>
      </c>
      <c r="C972" s="50" t="s">
        <v>275</v>
      </c>
      <c r="D972" s="214" t="s">
        <v>88</v>
      </c>
      <c r="E972" s="186">
        <v>150</v>
      </c>
      <c r="F972" s="124"/>
      <c r="G972" s="476"/>
    </row>
    <row r="973" spans="1:9" x14ac:dyDescent="0.25">
      <c r="A973" s="404"/>
      <c r="B973" s="432"/>
      <c r="C973" s="433"/>
      <c r="D973" s="432"/>
      <c r="E973" s="285"/>
      <c r="F973" s="431"/>
      <c r="G973" s="496"/>
    </row>
    <row r="974" spans="1:9" ht="36" x14ac:dyDescent="0.25">
      <c r="A974" s="109" t="s">
        <v>1975</v>
      </c>
      <c r="B974" s="51" t="s">
        <v>13</v>
      </c>
      <c r="C974" s="50" t="s">
        <v>274</v>
      </c>
      <c r="D974" s="142" t="s">
        <v>87</v>
      </c>
      <c r="E974" s="186">
        <v>10</v>
      </c>
      <c r="F974" s="124"/>
      <c r="G974" s="476"/>
    </row>
    <row r="975" spans="1:9" x14ac:dyDescent="0.25">
      <c r="A975" s="404"/>
      <c r="B975" s="432"/>
      <c r="C975" s="433"/>
      <c r="D975" s="432"/>
      <c r="E975" s="285"/>
      <c r="F975" s="431"/>
      <c r="G975" s="496"/>
    </row>
    <row r="976" spans="1:9" x14ac:dyDescent="0.25">
      <c r="A976" s="109"/>
      <c r="B976" s="138"/>
      <c r="C976" s="60"/>
      <c r="D976" s="51"/>
      <c r="E976" s="186"/>
      <c r="F976" s="124"/>
      <c r="G976" s="476"/>
      <c r="H976" s="519"/>
      <c r="I976" s="342"/>
    </row>
    <row r="977" spans="1:9" x14ac:dyDescent="0.25">
      <c r="A977" s="404"/>
      <c r="B977" s="432"/>
      <c r="C977" s="433"/>
      <c r="D977" s="432"/>
      <c r="E977" s="285"/>
      <c r="F977" s="431"/>
      <c r="G977" s="496"/>
      <c r="H977" s="520"/>
      <c r="I977" s="521"/>
    </row>
    <row r="978" spans="1:9" x14ac:dyDescent="0.25">
      <c r="A978" s="108"/>
      <c r="B978" s="52"/>
      <c r="C978" s="135"/>
      <c r="D978" s="52"/>
      <c r="E978" s="187"/>
      <c r="F978" s="123"/>
      <c r="G978" s="499"/>
      <c r="H978" s="520"/>
      <c r="I978" s="521"/>
    </row>
    <row r="979" spans="1:9" x14ac:dyDescent="0.25">
      <c r="A979" s="404"/>
      <c r="B979" s="432"/>
      <c r="C979" s="433"/>
      <c r="D979" s="432"/>
      <c r="E979" s="285"/>
      <c r="F979" s="431"/>
      <c r="G979" s="496"/>
      <c r="H979" s="520"/>
      <c r="I979" s="521"/>
    </row>
    <row r="980" spans="1:9" x14ac:dyDescent="0.25">
      <c r="A980" s="108"/>
      <c r="B980" s="52"/>
      <c r="C980" s="135"/>
      <c r="D980" s="52"/>
      <c r="E980" s="187"/>
      <c r="F980" s="123"/>
      <c r="G980" s="499"/>
      <c r="H980" s="520"/>
      <c r="I980" s="521"/>
    </row>
    <row r="981" spans="1:9" x14ac:dyDescent="0.25">
      <c r="A981" s="434"/>
      <c r="B981" s="435"/>
      <c r="C981" s="436"/>
      <c r="D981" s="435"/>
      <c r="E981" s="466"/>
      <c r="F981" s="470"/>
      <c r="G981" s="501"/>
      <c r="H981" s="490"/>
      <c r="I981" s="226"/>
    </row>
    <row r="982" spans="1:9" s="21" customFormat="1" ht="28.5" customHeight="1" x14ac:dyDescent="0.25">
      <c r="A982" s="526" t="s">
        <v>609</v>
      </c>
      <c r="B982" s="526"/>
      <c r="C982" s="526"/>
      <c r="D982" s="526"/>
      <c r="E982" s="526"/>
      <c r="F982" s="526"/>
      <c r="G982" s="330"/>
      <c r="H982" s="520"/>
      <c r="I982" s="521"/>
    </row>
    <row r="983" spans="1:9" s="21" customFormat="1" ht="28.5" customHeight="1" x14ac:dyDescent="0.25">
      <c r="A983" s="526" t="s">
        <v>610</v>
      </c>
      <c r="B983" s="526"/>
      <c r="C983" s="526"/>
      <c r="D983" s="526"/>
      <c r="E983" s="526"/>
      <c r="F983" s="526"/>
      <c r="G983" s="330"/>
      <c r="H983" s="490"/>
      <c r="I983" s="342"/>
    </row>
    <row r="984" spans="1:9" x14ac:dyDescent="0.25">
      <c r="A984" s="404"/>
      <c r="B984" s="432"/>
      <c r="C984" s="433"/>
      <c r="D984" s="432"/>
      <c r="E984" s="285"/>
      <c r="F984" s="431"/>
      <c r="G984" s="496"/>
    </row>
    <row r="985" spans="1:9" ht="24" x14ac:dyDescent="0.25">
      <c r="A985" s="340" t="s">
        <v>1976</v>
      </c>
      <c r="B985" s="138" t="s">
        <v>2363</v>
      </c>
      <c r="C985" s="60" t="s">
        <v>2218</v>
      </c>
      <c r="D985" s="51"/>
      <c r="E985" s="186"/>
      <c r="F985" s="124"/>
      <c r="G985" s="476"/>
    </row>
    <row r="986" spans="1:9" x14ac:dyDescent="0.25">
      <c r="A986" s="516"/>
      <c r="B986" s="517"/>
      <c r="C986" s="518"/>
      <c r="D986" s="435"/>
      <c r="E986" s="466"/>
      <c r="F986" s="470"/>
      <c r="G986" s="501"/>
    </row>
    <row r="987" spans="1:9" ht="13.5" x14ac:dyDescent="0.25">
      <c r="A987" s="109" t="s">
        <v>2364</v>
      </c>
      <c r="B987" s="138"/>
      <c r="C987" s="50" t="s">
        <v>1087</v>
      </c>
      <c r="D987" s="142" t="s">
        <v>87</v>
      </c>
      <c r="E987" s="186">
        <v>10</v>
      </c>
      <c r="F987" s="124"/>
      <c r="G987" s="476"/>
    </row>
    <row r="988" spans="1:9" x14ac:dyDescent="0.25">
      <c r="A988" s="516"/>
      <c r="B988" s="517"/>
      <c r="C988" s="518"/>
      <c r="D988" s="435"/>
      <c r="E988" s="466"/>
      <c r="F988" s="470"/>
      <c r="G988" s="501"/>
    </row>
    <row r="989" spans="1:9" ht="13.5" x14ac:dyDescent="0.25">
      <c r="A989" s="109" t="s">
        <v>2365</v>
      </c>
      <c r="B989" s="52"/>
      <c r="C989" s="50" t="s">
        <v>2219</v>
      </c>
      <c r="D989" s="214" t="s">
        <v>88</v>
      </c>
      <c r="E989" s="186">
        <v>2.5</v>
      </c>
      <c r="F989" s="124"/>
      <c r="G989" s="476"/>
    </row>
    <row r="990" spans="1:9" x14ac:dyDescent="0.25">
      <c r="A990" s="404"/>
      <c r="B990" s="432"/>
      <c r="C990" s="433"/>
      <c r="D990" s="432"/>
      <c r="E990" s="285"/>
      <c r="F990" s="431"/>
      <c r="G990" s="496"/>
    </row>
    <row r="991" spans="1:9" ht="24" x14ac:dyDescent="0.25">
      <c r="A991" s="340" t="s">
        <v>1977</v>
      </c>
      <c r="B991" s="138" t="s">
        <v>272</v>
      </c>
      <c r="C991" s="60" t="s">
        <v>271</v>
      </c>
      <c r="D991" s="207"/>
      <c r="E991" s="208"/>
      <c r="F991" s="125"/>
      <c r="G991" s="494"/>
    </row>
    <row r="992" spans="1:9" x14ac:dyDescent="0.25">
      <c r="A992" s="404"/>
      <c r="B992" s="432"/>
      <c r="C992" s="433"/>
      <c r="D992" s="432"/>
      <c r="E992" s="285"/>
      <c r="F992" s="431"/>
      <c r="G992" s="496"/>
    </row>
    <row r="993" spans="1:7" ht="26.25" customHeight="1" x14ac:dyDescent="0.25">
      <c r="A993" s="109"/>
      <c r="B993" s="138" t="s">
        <v>168</v>
      </c>
      <c r="C993" s="60" t="s">
        <v>300</v>
      </c>
      <c r="D993" s="51"/>
      <c r="E993" s="186"/>
      <c r="F993" s="125"/>
      <c r="G993" s="494"/>
    </row>
    <row r="994" spans="1:7" x14ac:dyDescent="0.25">
      <c r="A994" s="404"/>
      <c r="B994" s="432"/>
      <c r="C994" s="433"/>
      <c r="D994" s="432"/>
      <c r="E994" s="285"/>
      <c r="F994" s="431"/>
      <c r="G994" s="496"/>
    </row>
    <row r="995" spans="1:7" ht="13.5" x14ac:dyDescent="0.25">
      <c r="A995" s="109" t="s">
        <v>1978</v>
      </c>
      <c r="B995" s="51"/>
      <c r="C995" s="50" t="s">
        <v>268</v>
      </c>
      <c r="D995" s="214" t="s">
        <v>88</v>
      </c>
      <c r="E995" s="186">
        <v>5</v>
      </c>
      <c r="F995" s="125"/>
      <c r="G995" s="476"/>
    </row>
    <row r="996" spans="1:7" x14ac:dyDescent="0.25">
      <c r="A996" s="404"/>
      <c r="B996" s="432"/>
      <c r="C996" s="433"/>
      <c r="D996" s="432"/>
      <c r="E996" s="285"/>
      <c r="F996" s="431"/>
      <c r="G996" s="496"/>
    </row>
    <row r="997" spans="1:7" ht="48" x14ac:dyDescent="0.25">
      <c r="A997" s="108"/>
      <c r="B997" s="52"/>
      <c r="C997" s="60" t="s">
        <v>270</v>
      </c>
      <c r="D997" s="52"/>
      <c r="E997" s="186"/>
      <c r="F997" s="125"/>
      <c r="G997" s="494"/>
    </row>
    <row r="998" spans="1:7" x14ac:dyDescent="0.25">
      <c r="A998" s="404"/>
      <c r="B998" s="432"/>
      <c r="C998" s="433"/>
      <c r="D998" s="432"/>
      <c r="E998" s="285"/>
      <c r="F998" s="431"/>
      <c r="G998" s="496"/>
    </row>
    <row r="999" spans="1:7" ht="24" x14ac:dyDescent="0.25">
      <c r="A999" s="109"/>
      <c r="B999" s="66" t="s">
        <v>170</v>
      </c>
      <c r="C999" s="67" t="s">
        <v>269</v>
      </c>
      <c r="D999" s="51"/>
      <c r="E999" s="186"/>
      <c r="F999" s="124"/>
      <c r="G999" s="476"/>
    </row>
    <row r="1000" spans="1:7" x14ac:dyDescent="0.25">
      <c r="A1000" s="404"/>
      <c r="B1000" s="432"/>
      <c r="C1000" s="433"/>
      <c r="D1000" s="432"/>
      <c r="E1000" s="285"/>
      <c r="F1000" s="431"/>
      <c r="G1000" s="496"/>
    </row>
    <row r="1001" spans="1:7" ht="13.5" x14ac:dyDescent="0.25">
      <c r="A1001" s="109" t="s">
        <v>1979</v>
      </c>
      <c r="B1001" s="51"/>
      <c r="C1001" s="50" t="s">
        <v>246</v>
      </c>
      <c r="D1001" s="214" t="s">
        <v>88</v>
      </c>
      <c r="E1001" s="186">
        <v>15</v>
      </c>
      <c r="F1001" s="124"/>
      <c r="G1001" s="476"/>
    </row>
    <row r="1002" spans="1:7" x14ac:dyDescent="0.25">
      <c r="A1002" s="404"/>
      <c r="B1002" s="432"/>
      <c r="C1002" s="433"/>
      <c r="D1002" s="432"/>
      <c r="E1002" s="285"/>
      <c r="F1002" s="431"/>
      <c r="G1002" s="496"/>
    </row>
    <row r="1003" spans="1:7" ht="13.5" x14ac:dyDescent="0.25">
      <c r="A1003" s="109" t="s">
        <v>1980</v>
      </c>
      <c r="B1003" s="51"/>
      <c r="C1003" s="50" t="s">
        <v>268</v>
      </c>
      <c r="D1003" s="214" t="s">
        <v>88</v>
      </c>
      <c r="E1003" s="186">
        <v>10</v>
      </c>
      <c r="F1003" s="124"/>
      <c r="G1003" s="476"/>
    </row>
    <row r="1004" spans="1:7" x14ac:dyDescent="0.25">
      <c r="A1004" s="404"/>
      <c r="B1004" s="432"/>
      <c r="C1004" s="433"/>
      <c r="D1004" s="432"/>
      <c r="E1004" s="285"/>
      <c r="F1004" s="431"/>
      <c r="G1004" s="496"/>
    </row>
    <row r="1005" spans="1:7" ht="24" x14ac:dyDescent="0.25">
      <c r="A1005" s="109"/>
      <c r="B1005" s="138" t="s">
        <v>267</v>
      </c>
      <c r="C1005" s="60" t="s">
        <v>266</v>
      </c>
      <c r="D1005" s="51"/>
      <c r="E1005" s="186"/>
      <c r="F1005" s="125"/>
      <c r="G1005" s="494"/>
    </row>
    <row r="1006" spans="1:7" x14ac:dyDescent="0.25">
      <c r="A1006" s="404"/>
      <c r="B1006" s="432"/>
      <c r="C1006" s="433"/>
      <c r="D1006" s="432"/>
      <c r="E1006" s="285"/>
      <c r="F1006" s="431"/>
      <c r="G1006" s="496"/>
    </row>
    <row r="1007" spans="1:7" ht="24" x14ac:dyDescent="0.25">
      <c r="A1007" s="109" t="s">
        <v>1981</v>
      </c>
      <c r="B1007" s="51"/>
      <c r="C1007" s="50" t="s">
        <v>265</v>
      </c>
      <c r="D1007" s="214" t="s">
        <v>88</v>
      </c>
      <c r="E1007" s="186">
        <v>5</v>
      </c>
      <c r="F1007" s="125"/>
      <c r="G1007" s="476"/>
    </row>
    <row r="1008" spans="1:7" x14ac:dyDescent="0.25">
      <c r="A1008" s="434"/>
      <c r="B1008" s="432"/>
      <c r="C1008" s="433"/>
      <c r="D1008" s="432"/>
      <c r="E1008" s="466"/>
      <c r="F1008" s="488"/>
      <c r="G1008" s="501"/>
    </row>
    <row r="1009" spans="1:7" ht="24" x14ac:dyDescent="0.25">
      <c r="A1009" s="109"/>
      <c r="B1009" s="52"/>
      <c r="C1009" s="353" t="s">
        <v>2242</v>
      </c>
      <c r="D1009" s="142" t="s">
        <v>87</v>
      </c>
      <c r="E1009" s="186">
        <v>20</v>
      </c>
      <c r="F1009" s="125"/>
      <c r="G1009" s="476"/>
    </row>
    <row r="1010" spans="1:7" x14ac:dyDescent="0.25">
      <c r="A1010" s="404"/>
      <c r="B1010" s="432"/>
      <c r="C1010" s="433"/>
      <c r="D1010" s="432"/>
      <c r="E1010" s="285"/>
      <c r="F1010" s="431"/>
      <c r="G1010" s="496"/>
    </row>
    <row r="1011" spans="1:7" ht="24" x14ac:dyDescent="0.25">
      <c r="A1011" s="340" t="s">
        <v>1819</v>
      </c>
      <c r="B1011" s="138" t="s">
        <v>264</v>
      </c>
      <c r="C1011" s="60" t="s">
        <v>245</v>
      </c>
      <c r="D1011" s="51"/>
      <c r="E1011" s="186"/>
      <c r="F1011" s="124"/>
      <c r="G1011" s="476"/>
    </row>
    <row r="1012" spans="1:7" x14ac:dyDescent="0.25">
      <c r="A1012" s="404"/>
      <c r="B1012" s="432"/>
      <c r="C1012" s="433"/>
      <c r="D1012" s="432"/>
      <c r="E1012" s="285"/>
      <c r="F1012" s="431"/>
      <c r="G1012" s="496"/>
    </row>
    <row r="1013" spans="1:7" ht="24" x14ac:dyDescent="0.25">
      <c r="A1013" s="109"/>
      <c r="B1013" s="138" t="s">
        <v>5</v>
      </c>
      <c r="C1013" s="60" t="s">
        <v>299</v>
      </c>
      <c r="D1013" s="51"/>
      <c r="E1013" s="186"/>
      <c r="F1013" s="124"/>
      <c r="G1013" s="476"/>
    </row>
    <row r="1014" spans="1:7" x14ac:dyDescent="0.25">
      <c r="A1014" s="404"/>
      <c r="B1014" s="432"/>
      <c r="C1014" s="433"/>
      <c r="D1014" s="432"/>
      <c r="E1014" s="285"/>
      <c r="F1014" s="431"/>
      <c r="G1014" s="496"/>
    </row>
    <row r="1015" spans="1:7" ht="36" x14ac:dyDescent="0.25">
      <c r="A1015" s="109" t="s">
        <v>1820</v>
      </c>
      <c r="B1015" s="51"/>
      <c r="C1015" s="50" t="s">
        <v>2366</v>
      </c>
      <c r="D1015" s="51" t="s">
        <v>6</v>
      </c>
      <c r="E1015" s="186">
        <v>12</v>
      </c>
      <c r="F1015" s="126"/>
      <c r="G1015" s="476"/>
    </row>
    <row r="1016" spans="1:7" x14ac:dyDescent="0.25">
      <c r="A1016" s="404"/>
      <c r="B1016" s="432"/>
      <c r="C1016" s="433"/>
      <c r="D1016" s="432"/>
      <c r="E1016" s="285"/>
      <c r="F1016" s="431"/>
      <c r="G1016" s="496"/>
    </row>
    <row r="1017" spans="1:7" ht="36" x14ac:dyDescent="0.25">
      <c r="A1017" s="109" t="s">
        <v>1821</v>
      </c>
      <c r="B1017" s="51"/>
      <c r="C1017" s="50" t="s">
        <v>2367</v>
      </c>
      <c r="D1017" s="51" t="s">
        <v>6</v>
      </c>
      <c r="E1017" s="186">
        <v>12</v>
      </c>
      <c r="F1017" s="126"/>
      <c r="G1017" s="476"/>
    </row>
    <row r="1018" spans="1:7" x14ac:dyDescent="0.25">
      <c r="A1018" s="404"/>
      <c r="B1018" s="432"/>
      <c r="C1018" s="433"/>
      <c r="D1018" s="432"/>
      <c r="E1018" s="285"/>
      <c r="F1018" s="431"/>
      <c r="G1018" s="496"/>
    </row>
    <row r="1019" spans="1:7" x14ac:dyDescent="0.25">
      <c r="A1019" s="109"/>
      <c r="B1019" s="51"/>
      <c r="C1019" s="50"/>
      <c r="D1019" s="51"/>
      <c r="E1019" s="186"/>
      <c r="F1019" s="126"/>
      <c r="G1019" s="476"/>
    </row>
    <row r="1020" spans="1:7" x14ac:dyDescent="0.25">
      <c r="A1020" s="404"/>
      <c r="B1020" s="432"/>
      <c r="C1020" s="433"/>
      <c r="D1020" s="432"/>
      <c r="E1020" s="285"/>
      <c r="F1020" s="431"/>
      <c r="G1020" s="496"/>
    </row>
    <row r="1021" spans="1:7" ht="28.5" customHeight="1" x14ac:dyDescent="0.25">
      <c r="A1021" s="526" t="s">
        <v>609</v>
      </c>
      <c r="B1021" s="526"/>
      <c r="C1021" s="526"/>
      <c r="D1021" s="526"/>
      <c r="E1021" s="526"/>
      <c r="F1021" s="526"/>
      <c r="G1021" s="330"/>
    </row>
    <row r="1022" spans="1:7" ht="28.5" customHeight="1" x14ac:dyDescent="0.25">
      <c r="A1022" s="526" t="s">
        <v>610</v>
      </c>
      <c r="B1022" s="526"/>
      <c r="C1022" s="526"/>
      <c r="D1022" s="526"/>
      <c r="E1022" s="526"/>
      <c r="F1022" s="526"/>
      <c r="G1022" s="330"/>
    </row>
    <row r="1023" spans="1:7" x14ac:dyDescent="0.25">
      <c r="A1023" s="404"/>
      <c r="B1023" s="432"/>
      <c r="C1023" s="433"/>
      <c r="D1023" s="432"/>
      <c r="E1023" s="285"/>
      <c r="F1023" s="431"/>
      <c r="G1023" s="496"/>
    </row>
    <row r="1024" spans="1:7" ht="84" x14ac:dyDescent="0.25">
      <c r="A1024" s="109"/>
      <c r="B1024" s="138" t="s">
        <v>2295</v>
      </c>
      <c r="C1024" s="60" t="s">
        <v>737</v>
      </c>
      <c r="D1024" s="51"/>
      <c r="E1024" s="186"/>
      <c r="F1024" s="124"/>
      <c r="G1024" s="476"/>
    </row>
    <row r="1025" spans="1:7" x14ac:dyDescent="0.25">
      <c r="A1025" s="404"/>
      <c r="B1025" s="432"/>
      <c r="C1025" s="433"/>
      <c r="D1025" s="432"/>
      <c r="E1025" s="285"/>
      <c r="F1025" s="431"/>
      <c r="G1025" s="496"/>
    </row>
    <row r="1026" spans="1:7" x14ac:dyDescent="0.25">
      <c r="A1026" s="109" t="s">
        <v>1822</v>
      </c>
      <c r="B1026" s="51"/>
      <c r="C1026" s="50" t="s">
        <v>298</v>
      </c>
      <c r="D1026" s="51" t="s">
        <v>8</v>
      </c>
      <c r="E1026" s="186">
        <v>1</v>
      </c>
      <c r="F1026" s="126"/>
      <c r="G1026" s="476"/>
    </row>
    <row r="1027" spans="1:7" x14ac:dyDescent="0.25">
      <c r="A1027" s="404"/>
      <c r="B1027" s="432"/>
      <c r="C1027" s="433"/>
      <c r="D1027" s="432"/>
      <c r="E1027" s="285"/>
      <c r="F1027" s="431"/>
      <c r="G1027" s="496"/>
    </row>
    <row r="1028" spans="1:7" x14ac:dyDescent="0.25">
      <c r="A1028" s="109" t="s">
        <v>1982</v>
      </c>
      <c r="B1028" s="51"/>
      <c r="C1028" s="50" t="s">
        <v>297</v>
      </c>
      <c r="D1028" s="51" t="s">
        <v>8</v>
      </c>
      <c r="E1028" s="186">
        <v>1</v>
      </c>
      <c r="F1028" s="126"/>
      <c r="G1028" s="476"/>
    </row>
    <row r="1029" spans="1:7" x14ac:dyDescent="0.25">
      <c r="A1029" s="404"/>
      <c r="B1029" s="432"/>
      <c r="C1029" s="433"/>
      <c r="D1029" s="432"/>
      <c r="E1029" s="285"/>
      <c r="F1029" s="431"/>
      <c r="G1029" s="496"/>
    </row>
    <row r="1030" spans="1:7" x14ac:dyDescent="0.25">
      <c r="A1030" s="109" t="s">
        <v>1983</v>
      </c>
      <c r="B1030" s="51"/>
      <c r="C1030" s="50" t="s">
        <v>296</v>
      </c>
      <c r="D1030" s="51" t="s">
        <v>8</v>
      </c>
      <c r="E1030" s="186">
        <v>1</v>
      </c>
      <c r="F1030" s="126"/>
      <c r="G1030" s="476"/>
    </row>
    <row r="1031" spans="1:7" x14ac:dyDescent="0.25">
      <c r="A1031" s="404"/>
      <c r="B1031" s="432"/>
      <c r="C1031" s="433"/>
      <c r="D1031" s="432"/>
      <c r="E1031" s="285"/>
      <c r="F1031" s="431"/>
      <c r="G1031" s="496"/>
    </row>
    <row r="1032" spans="1:7" ht="36" x14ac:dyDescent="0.25">
      <c r="A1032" s="109" t="s">
        <v>1984</v>
      </c>
      <c r="B1032" s="51" t="s">
        <v>15</v>
      </c>
      <c r="C1032" s="50" t="s">
        <v>2368</v>
      </c>
      <c r="D1032" s="214" t="s">
        <v>88</v>
      </c>
      <c r="E1032" s="186">
        <v>5</v>
      </c>
      <c r="F1032" s="126"/>
      <c r="G1032" s="476"/>
    </row>
    <row r="1033" spans="1:7" x14ac:dyDescent="0.25">
      <c r="A1033" s="404"/>
      <c r="B1033" s="432"/>
      <c r="C1033" s="433"/>
      <c r="D1033" s="432"/>
      <c r="E1033" s="285"/>
      <c r="F1033" s="431"/>
      <c r="G1033" s="496"/>
    </row>
    <row r="1034" spans="1:7" ht="24" x14ac:dyDescent="0.25">
      <c r="A1034" s="109" t="s">
        <v>1985</v>
      </c>
      <c r="B1034" s="51" t="s">
        <v>295</v>
      </c>
      <c r="C1034" s="50" t="s">
        <v>294</v>
      </c>
      <c r="D1034" s="51" t="s">
        <v>8</v>
      </c>
      <c r="E1034" s="186">
        <v>1</v>
      </c>
      <c r="F1034" s="126"/>
      <c r="G1034" s="476"/>
    </row>
    <row r="1035" spans="1:7" x14ac:dyDescent="0.25">
      <c r="A1035" s="404"/>
      <c r="B1035" s="432"/>
      <c r="C1035" s="433"/>
      <c r="D1035" s="432"/>
      <c r="E1035" s="285"/>
      <c r="F1035" s="431"/>
      <c r="G1035" s="496"/>
    </row>
    <row r="1036" spans="1:7" x14ac:dyDescent="0.25">
      <c r="A1036" s="249" t="s">
        <v>1986</v>
      </c>
      <c r="B1036" s="210" t="s">
        <v>2202</v>
      </c>
      <c r="C1036" s="119" t="s">
        <v>263</v>
      </c>
      <c r="D1036" s="142" t="s">
        <v>8</v>
      </c>
      <c r="E1036" s="187">
        <v>2</v>
      </c>
      <c r="F1036" s="123"/>
      <c r="G1036" s="476"/>
    </row>
    <row r="1037" spans="1:7" x14ac:dyDescent="0.25">
      <c r="A1037" s="404"/>
      <c r="B1037" s="432"/>
      <c r="C1037" s="433"/>
      <c r="D1037" s="432"/>
      <c r="E1037" s="285"/>
      <c r="F1037" s="431"/>
      <c r="G1037" s="496"/>
    </row>
    <row r="1038" spans="1:7" ht="36" x14ac:dyDescent="0.25">
      <c r="A1038" s="249"/>
      <c r="B1038" s="207" t="s">
        <v>2201</v>
      </c>
      <c r="C1038" s="38" t="s">
        <v>2344</v>
      </c>
      <c r="D1038" s="142"/>
      <c r="E1038" s="187"/>
      <c r="F1038" s="123"/>
      <c r="G1038" s="498"/>
    </row>
    <row r="1039" spans="1:7" x14ac:dyDescent="0.25">
      <c r="A1039" s="404"/>
      <c r="B1039" s="432"/>
      <c r="C1039" s="433"/>
      <c r="D1039" s="432"/>
      <c r="E1039" s="285"/>
      <c r="F1039" s="431"/>
      <c r="G1039" s="496"/>
    </row>
    <row r="1040" spans="1:7" x14ac:dyDescent="0.25">
      <c r="A1040" s="249" t="s">
        <v>1987</v>
      </c>
      <c r="B1040" s="210"/>
      <c r="C1040" s="119" t="s">
        <v>662</v>
      </c>
      <c r="D1040" s="142" t="s">
        <v>6</v>
      </c>
      <c r="E1040" s="187">
        <v>10</v>
      </c>
      <c r="F1040" s="123"/>
      <c r="G1040" s="476"/>
    </row>
    <row r="1041" spans="1:7" x14ac:dyDescent="0.25">
      <c r="A1041" s="404"/>
      <c r="B1041" s="432"/>
      <c r="C1041" s="433"/>
      <c r="D1041" s="432"/>
      <c r="E1041" s="285"/>
      <c r="F1041" s="431"/>
      <c r="G1041" s="496"/>
    </row>
    <row r="1042" spans="1:7" x14ac:dyDescent="0.25">
      <c r="A1042" s="249" t="s">
        <v>1988</v>
      </c>
      <c r="B1042" s="210"/>
      <c r="C1042" s="119" t="s">
        <v>2302</v>
      </c>
      <c r="D1042" s="142" t="s">
        <v>6</v>
      </c>
      <c r="E1042" s="187">
        <v>10</v>
      </c>
      <c r="F1042" s="123"/>
      <c r="G1042" s="476"/>
    </row>
    <row r="1043" spans="1:7" x14ac:dyDescent="0.25">
      <c r="A1043" s="404"/>
      <c r="B1043" s="432"/>
      <c r="C1043" s="433"/>
      <c r="D1043" s="432"/>
      <c r="E1043" s="285"/>
      <c r="F1043" s="431"/>
      <c r="G1043" s="496"/>
    </row>
    <row r="1044" spans="1:7" x14ac:dyDescent="0.25">
      <c r="A1044" s="249"/>
      <c r="B1044" s="210"/>
      <c r="C1044" s="119"/>
      <c r="D1044" s="142"/>
      <c r="E1044" s="187"/>
      <c r="F1044" s="123"/>
      <c r="G1044" s="476"/>
    </row>
    <row r="1045" spans="1:7" x14ac:dyDescent="0.25">
      <c r="A1045" s="404"/>
      <c r="B1045" s="432"/>
      <c r="C1045" s="433"/>
      <c r="D1045" s="432"/>
      <c r="E1045" s="285"/>
      <c r="F1045" s="431"/>
      <c r="G1045" s="496"/>
    </row>
    <row r="1046" spans="1:7" x14ac:dyDescent="0.25">
      <c r="A1046" s="249"/>
      <c r="B1046" s="210"/>
      <c r="C1046" s="119"/>
      <c r="D1046" s="142"/>
      <c r="E1046" s="187"/>
      <c r="F1046" s="123"/>
      <c r="G1046" s="476"/>
    </row>
    <row r="1047" spans="1:7" x14ac:dyDescent="0.25">
      <c r="A1047" s="404"/>
      <c r="B1047" s="432"/>
      <c r="C1047" s="433"/>
      <c r="D1047" s="432"/>
      <c r="E1047" s="285"/>
      <c r="F1047" s="431"/>
      <c r="G1047" s="496"/>
    </row>
    <row r="1048" spans="1:7" x14ac:dyDescent="0.25">
      <c r="A1048" s="249"/>
      <c r="B1048" s="210"/>
      <c r="C1048" s="119"/>
      <c r="D1048" s="142"/>
      <c r="E1048" s="187"/>
      <c r="F1048" s="123"/>
      <c r="G1048" s="476"/>
    </row>
    <row r="1049" spans="1:7" x14ac:dyDescent="0.25">
      <c r="A1049" s="404"/>
      <c r="B1049" s="432"/>
      <c r="C1049" s="433"/>
      <c r="D1049" s="432"/>
      <c r="E1049" s="285"/>
      <c r="F1049" s="431"/>
      <c r="G1049" s="496"/>
    </row>
    <row r="1050" spans="1:7" x14ac:dyDescent="0.25">
      <c r="A1050" s="249"/>
      <c r="B1050" s="210"/>
      <c r="C1050" s="119"/>
      <c r="D1050" s="142"/>
      <c r="E1050" s="187"/>
      <c r="F1050" s="123"/>
      <c r="G1050" s="476"/>
    </row>
    <row r="1051" spans="1:7" x14ac:dyDescent="0.25">
      <c r="A1051" s="404"/>
      <c r="B1051" s="432"/>
      <c r="C1051" s="433"/>
      <c r="D1051" s="432"/>
      <c r="E1051" s="285"/>
      <c r="F1051" s="431"/>
      <c r="G1051" s="496"/>
    </row>
    <row r="1052" spans="1:7" x14ac:dyDescent="0.25">
      <c r="A1052" s="249"/>
      <c r="B1052" s="210"/>
      <c r="C1052" s="119"/>
      <c r="D1052" s="142"/>
      <c r="E1052" s="187"/>
      <c r="F1052" s="123"/>
      <c r="G1052" s="476"/>
    </row>
    <row r="1053" spans="1:7" x14ac:dyDescent="0.25">
      <c r="A1053" s="404"/>
      <c r="B1053" s="432"/>
      <c r="C1053" s="433"/>
      <c r="D1053" s="432"/>
      <c r="E1053" s="285"/>
      <c r="F1053" s="431"/>
      <c r="G1053" s="496"/>
    </row>
    <row r="1054" spans="1:7" x14ac:dyDescent="0.25">
      <c r="A1054" s="249"/>
      <c r="B1054" s="210"/>
      <c r="C1054" s="119"/>
      <c r="D1054" s="142"/>
      <c r="E1054" s="187"/>
      <c r="F1054" s="123"/>
      <c r="G1054" s="476"/>
    </row>
    <row r="1055" spans="1:7" x14ac:dyDescent="0.25">
      <c r="A1055" s="404"/>
      <c r="B1055" s="432"/>
      <c r="C1055" s="433"/>
      <c r="D1055" s="432"/>
      <c r="E1055" s="285"/>
      <c r="F1055" s="431"/>
      <c r="G1055" s="496"/>
    </row>
    <row r="1056" spans="1:7" x14ac:dyDescent="0.25">
      <c r="A1056" s="249"/>
      <c r="B1056" s="210"/>
      <c r="C1056" s="119"/>
      <c r="D1056" s="142"/>
      <c r="E1056" s="187"/>
      <c r="F1056" s="123"/>
      <c r="G1056" s="476"/>
    </row>
    <row r="1057" spans="1:8" x14ac:dyDescent="0.25">
      <c r="A1057" s="404"/>
      <c r="B1057" s="432"/>
      <c r="C1057" s="433"/>
      <c r="D1057" s="432"/>
      <c r="E1057" s="285"/>
      <c r="F1057" s="431"/>
      <c r="G1057" s="496"/>
    </row>
    <row r="1058" spans="1:8" x14ac:dyDescent="0.25">
      <c r="A1058" s="249"/>
      <c r="B1058" s="210"/>
      <c r="C1058" s="119"/>
      <c r="D1058" s="142"/>
      <c r="E1058" s="187"/>
      <c r="F1058" s="123"/>
      <c r="G1058" s="476"/>
    </row>
    <row r="1059" spans="1:8" x14ac:dyDescent="0.25">
      <c r="A1059" s="404"/>
      <c r="B1059" s="432"/>
      <c r="C1059" s="433"/>
      <c r="D1059" s="432"/>
      <c r="E1059" s="285"/>
      <c r="F1059" s="431"/>
      <c r="G1059" s="496"/>
    </row>
    <row r="1060" spans="1:8" x14ac:dyDescent="0.25">
      <c r="A1060" s="249"/>
      <c r="B1060" s="210"/>
      <c r="C1060" s="119"/>
      <c r="D1060" s="142"/>
      <c r="E1060" s="187"/>
      <c r="F1060" s="123"/>
      <c r="G1060" s="476"/>
    </row>
    <row r="1061" spans="1:8" x14ac:dyDescent="0.25">
      <c r="A1061" s="404"/>
      <c r="B1061" s="432"/>
      <c r="C1061" s="433"/>
      <c r="D1061" s="432"/>
      <c r="E1061" s="285"/>
      <c r="F1061" s="431"/>
      <c r="G1061" s="496"/>
    </row>
    <row r="1062" spans="1:8" x14ac:dyDescent="0.25">
      <c r="A1062" s="249"/>
      <c r="B1062" s="210"/>
      <c r="C1062" s="119"/>
      <c r="D1062" s="142"/>
      <c r="E1062" s="187"/>
      <c r="F1062" s="123"/>
      <c r="G1062" s="476"/>
    </row>
    <row r="1063" spans="1:8" x14ac:dyDescent="0.25">
      <c r="A1063" s="404"/>
      <c r="B1063" s="432"/>
      <c r="C1063" s="433"/>
      <c r="D1063" s="432"/>
      <c r="E1063" s="285"/>
      <c r="F1063" s="431"/>
      <c r="G1063" s="496"/>
    </row>
    <row r="1064" spans="1:8" x14ac:dyDescent="0.25">
      <c r="A1064" s="249"/>
      <c r="B1064" s="210"/>
      <c r="C1064" s="119"/>
      <c r="D1064" s="142"/>
      <c r="E1064" s="187"/>
      <c r="F1064" s="123"/>
      <c r="G1064" s="476"/>
    </row>
    <row r="1065" spans="1:8" s="21" customFormat="1" ht="28.5" customHeight="1" x14ac:dyDescent="0.25">
      <c r="A1065" s="526" t="s">
        <v>1999</v>
      </c>
      <c r="B1065" s="526"/>
      <c r="C1065" s="526"/>
      <c r="D1065" s="526"/>
      <c r="E1065" s="526"/>
      <c r="F1065" s="526"/>
      <c r="G1065" s="330"/>
      <c r="H1065" s="182"/>
    </row>
    <row r="1066" spans="1:8" x14ac:dyDescent="0.25">
      <c r="A1066" s="404"/>
      <c r="B1066" s="432"/>
      <c r="C1066" s="433"/>
      <c r="D1066" s="432"/>
      <c r="E1066" s="285"/>
      <c r="F1066" s="431"/>
      <c r="G1066" s="496"/>
    </row>
    <row r="1067" spans="1:8" x14ac:dyDescent="0.25">
      <c r="A1067" s="329" t="s">
        <v>1823</v>
      </c>
      <c r="B1067" s="207"/>
      <c r="C1067" s="284" t="s">
        <v>1989</v>
      </c>
      <c r="D1067" s="207"/>
      <c r="E1067" s="208"/>
      <c r="F1067" s="123"/>
      <c r="G1067" s="494"/>
    </row>
    <row r="1068" spans="1:8" x14ac:dyDescent="0.25">
      <c r="A1068" s="404"/>
      <c r="B1068" s="432"/>
      <c r="C1068" s="433"/>
      <c r="D1068" s="432"/>
      <c r="E1068" s="285"/>
      <c r="F1068" s="431"/>
      <c r="G1068" s="496"/>
    </row>
    <row r="1069" spans="1:8" ht="24" x14ac:dyDescent="0.25">
      <c r="A1069" s="231" t="s">
        <v>293</v>
      </c>
      <c r="B1069" s="207" t="s">
        <v>14</v>
      </c>
      <c r="C1069" s="38" t="s">
        <v>241</v>
      </c>
      <c r="D1069" s="207"/>
      <c r="E1069" s="186"/>
      <c r="F1069" s="122"/>
      <c r="G1069" s="209"/>
    </row>
    <row r="1070" spans="1:8" x14ac:dyDescent="0.25">
      <c r="A1070" s="404"/>
      <c r="B1070" s="432"/>
      <c r="C1070" s="433"/>
      <c r="D1070" s="432"/>
      <c r="E1070" s="285"/>
      <c r="F1070" s="431"/>
      <c r="G1070" s="496"/>
    </row>
    <row r="1071" spans="1:8" ht="13.5" x14ac:dyDescent="0.25">
      <c r="A1071" s="108" t="s">
        <v>1824</v>
      </c>
      <c r="B1071" s="210" t="s">
        <v>2203</v>
      </c>
      <c r="C1071" s="119" t="s">
        <v>292</v>
      </c>
      <c r="D1071" s="142" t="s">
        <v>87</v>
      </c>
      <c r="E1071" s="211">
        <v>50</v>
      </c>
      <c r="F1071" s="122"/>
      <c r="G1071" s="476"/>
    </row>
    <row r="1072" spans="1:8" x14ac:dyDescent="0.25">
      <c r="A1072" s="404"/>
      <c r="B1072" s="432"/>
      <c r="C1072" s="433"/>
      <c r="D1072" s="432"/>
      <c r="E1072" s="285"/>
      <c r="F1072" s="431"/>
      <c r="G1072" s="496"/>
    </row>
    <row r="1073" spans="1:7" ht="24" x14ac:dyDescent="0.25">
      <c r="A1073" s="340" t="s">
        <v>1825</v>
      </c>
      <c r="B1073" s="138" t="s">
        <v>2207</v>
      </c>
      <c r="C1073" s="60" t="s">
        <v>2208</v>
      </c>
      <c r="D1073" s="52"/>
      <c r="E1073" s="187"/>
      <c r="F1073" s="123"/>
      <c r="G1073" s="495"/>
    </row>
    <row r="1074" spans="1:7" x14ac:dyDescent="0.25">
      <c r="A1074" s="404"/>
      <c r="B1074" s="205"/>
      <c r="C1074" s="405"/>
      <c r="D1074" s="205"/>
      <c r="E1074" s="285"/>
      <c r="F1074" s="431"/>
      <c r="G1074" s="496"/>
    </row>
    <row r="1075" spans="1:7" ht="24" x14ac:dyDescent="0.25">
      <c r="A1075" s="109" t="s">
        <v>1826</v>
      </c>
      <c r="B1075" s="51" t="s">
        <v>2211</v>
      </c>
      <c r="C1075" s="50" t="s">
        <v>2212</v>
      </c>
      <c r="D1075" s="142" t="s">
        <v>87</v>
      </c>
      <c r="E1075" s="187">
        <v>20</v>
      </c>
      <c r="F1075" s="123"/>
      <c r="G1075" s="476"/>
    </row>
    <row r="1076" spans="1:7" x14ac:dyDescent="0.25">
      <c r="A1076" s="404"/>
      <c r="B1076" s="205"/>
      <c r="C1076" s="405"/>
      <c r="D1076" s="205"/>
      <c r="E1076" s="285"/>
      <c r="F1076" s="431"/>
      <c r="G1076" s="496"/>
    </row>
    <row r="1077" spans="1:7" ht="27" customHeight="1" x14ac:dyDescent="0.25">
      <c r="A1077" s="109" t="s">
        <v>1827</v>
      </c>
      <c r="B1077" s="51" t="s">
        <v>11</v>
      </c>
      <c r="C1077" s="50" t="s">
        <v>2209</v>
      </c>
      <c r="D1077" s="214" t="s">
        <v>88</v>
      </c>
      <c r="E1077" s="187">
        <v>15</v>
      </c>
      <c r="F1077" s="123"/>
      <c r="G1077" s="476"/>
    </row>
    <row r="1078" spans="1:7" x14ac:dyDescent="0.25">
      <c r="A1078" s="404"/>
      <c r="B1078" s="432"/>
      <c r="C1078" s="433"/>
      <c r="D1078" s="432"/>
      <c r="E1078" s="285"/>
      <c r="F1078" s="431"/>
      <c r="G1078" s="496"/>
    </row>
    <row r="1079" spans="1:7" x14ac:dyDescent="0.25">
      <c r="A1079" s="109"/>
      <c r="B1079" s="138"/>
      <c r="C1079" s="60" t="s">
        <v>2369</v>
      </c>
      <c r="D1079" s="52"/>
      <c r="E1079" s="187"/>
      <c r="F1079" s="123"/>
      <c r="G1079" s="495"/>
    </row>
    <row r="1080" spans="1:7" x14ac:dyDescent="0.25">
      <c r="A1080" s="404"/>
      <c r="B1080" s="432"/>
      <c r="C1080" s="433"/>
      <c r="D1080" s="432"/>
      <c r="E1080" s="285"/>
      <c r="F1080" s="431"/>
      <c r="G1080" s="496"/>
    </row>
    <row r="1081" spans="1:7" ht="13.5" x14ac:dyDescent="0.25">
      <c r="A1081" s="109" t="s">
        <v>1828</v>
      </c>
      <c r="B1081" s="52"/>
      <c r="C1081" s="50" t="s">
        <v>291</v>
      </c>
      <c r="D1081" s="214" t="s">
        <v>88</v>
      </c>
      <c r="E1081" s="187">
        <v>10</v>
      </c>
      <c r="F1081" s="123"/>
      <c r="G1081" s="476"/>
    </row>
    <row r="1082" spans="1:7" x14ac:dyDescent="0.25">
      <c r="A1082" s="404"/>
      <c r="B1082" s="432"/>
      <c r="C1082" s="433"/>
      <c r="D1082" s="432"/>
      <c r="E1082" s="285"/>
      <c r="F1082" s="431"/>
      <c r="G1082" s="496"/>
    </row>
    <row r="1083" spans="1:7" ht="13.5" x14ac:dyDescent="0.25">
      <c r="A1083" s="109" t="s">
        <v>1829</v>
      </c>
      <c r="B1083" s="52"/>
      <c r="C1083" s="50" t="s">
        <v>290</v>
      </c>
      <c r="D1083" s="214" t="s">
        <v>88</v>
      </c>
      <c r="E1083" s="187">
        <v>5</v>
      </c>
      <c r="F1083" s="123"/>
      <c r="G1083" s="476"/>
    </row>
    <row r="1084" spans="1:7" x14ac:dyDescent="0.25">
      <c r="A1084" s="404"/>
      <c r="B1084" s="432"/>
      <c r="C1084" s="433"/>
      <c r="D1084" s="432"/>
      <c r="E1084" s="285"/>
      <c r="F1084" s="431"/>
      <c r="G1084" s="496"/>
    </row>
    <row r="1085" spans="1:7" ht="23.25" customHeight="1" x14ac:dyDescent="0.25">
      <c r="A1085" s="109" t="s">
        <v>1830</v>
      </c>
      <c r="B1085" s="51" t="s">
        <v>83</v>
      </c>
      <c r="C1085" s="50" t="s">
        <v>289</v>
      </c>
      <c r="D1085" s="214" t="s">
        <v>88</v>
      </c>
      <c r="E1085" s="187">
        <v>5</v>
      </c>
      <c r="F1085" s="123"/>
      <c r="G1085" s="476"/>
    </row>
    <row r="1086" spans="1:7" x14ac:dyDescent="0.25">
      <c r="A1086" s="404"/>
      <c r="B1086" s="432"/>
      <c r="C1086" s="433"/>
      <c r="D1086" s="432"/>
      <c r="E1086" s="285"/>
      <c r="F1086" s="431"/>
      <c r="G1086" s="496"/>
    </row>
    <row r="1087" spans="1:7" ht="24" x14ac:dyDescent="0.25">
      <c r="A1087" s="109" t="s">
        <v>1990</v>
      </c>
      <c r="B1087" s="51" t="s">
        <v>288</v>
      </c>
      <c r="C1087" s="50" t="s">
        <v>287</v>
      </c>
      <c r="D1087" s="51" t="s">
        <v>273</v>
      </c>
      <c r="E1087" s="187">
        <v>10</v>
      </c>
      <c r="F1087" s="123"/>
      <c r="G1087" s="476"/>
    </row>
    <row r="1088" spans="1:7" x14ac:dyDescent="0.25">
      <c r="A1088" s="404"/>
      <c r="B1088" s="432"/>
      <c r="C1088" s="433"/>
      <c r="D1088" s="432"/>
      <c r="E1088" s="285"/>
      <c r="F1088" s="431"/>
      <c r="G1088" s="496"/>
    </row>
    <row r="1089" spans="1:7" ht="36" x14ac:dyDescent="0.25">
      <c r="A1089" s="109" t="s">
        <v>1991</v>
      </c>
      <c r="B1089" s="51" t="s">
        <v>2213</v>
      </c>
      <c r="C1089" s="50" t="s">
        <v>285</v>
      </c>
      <c r="D1089" s="51" t="s">
        <v>273</v>
      </c>
      <c r="E1089" s="187">
        <v>10</v>
      </c>
      <c r="F1089" s="123"/>
      <c r="G1089" s="476"/>
    </row>
    <row r="1090" spans="1:7" x14ac:dyDescent="0.25">
      <c r="A1090" s="404"/>
      <c r="B1090" s="432"/>
      <c r="C1090" s="433"/>
      <c r="D1090" s="432"/>
      <c r="E1090" s="285"/>
      <c r="F1090" s="431"/>
      <c r="G1090" s="496"/>
    </row>
    <row r="1091" spans="1:7" ht="24" x14ac:dyDescent="0.25">
      <c r="A1091" s="340" t="s">
        <v>1825</v>
      </c>
      <c r="B1091" s="138" t="s">
        <v>284</v>
      </c>
      <c r="C1091" s="60" t="s">
        <v>283</v>
      </c>
      <c r="D1091" s="52"/>
      <c r="E1091" s="186"/>
      <c r="F1091" s="124"/>
      <c r="G1091" s="497"/>
    </row>
    <row r="1092" spans="1:7" x14ac:dyDescent="0.25">
      <c r="A1092" s="404"/>
      <c r="B1092" s="432"/>
      <c r="C1092" s="433"/>
      <c r="D1092" s="432"/>
      <c r="E1092" s="285"/>
      <c r="F1092" s="431"/>
      <c r="G1092" s="496"/>
    </row>
    <row r="1093" spans="1:7" ht="24" x14ac:dyDescent="0.25">
      <c r="A1093" s="109" t="s">
        <v>1826</v>
      </c>
      <c r="B1093" s="52" t="s">
        <v>5</v>
      </c>
      <c r="C1093" s="50" t="s">
        <v>282</v>
      </c>
      <c r="D1093" s="142" t="s">
        <v>87</v>
      </c>
      <c r="E1093" s="186">
        <v>10</v>
      </c>
      <c r="F1093" s="124"/>
      <c r="G1093" s="476"/>
    </row>
    <row r="1094" spans="1:7" x14ac:dyDescent="0.25">
      <c r="A1094" s="404"/>
      <c r="B1094" s="432"/>
      <c r="C1094" s="433"/>
      <c r="D1094" s="432"/>
      <c r="E1094" s="285"/>
      <c r="F1094" s="431"/>
      <c r="G1094" s="496"/>
    </row>
    <row r="1095" spans="1:7" ht="60" x14ac:dyDescent="0.25">
      <c r="A1095" s="109"/>
      <c r="B1095" s="138" t="s">
        <v>7</v>
      </c>
      <c r="C1095" s="60" t="s">
        <v>281</v>
      </c>
      <c r="D1095" s="52"/>
      <c r="E1095" s="186"/>
      <c r="F1095" s="124"/>
      <c r="G1095" s="497"/>
    </row>
    <row r="1096" spans="1:7" x14ac:dyDescent="0.25">
      <c r="A1096" s="404"/>
      <c r="B1096" s="432"/>
      <c r="C1096" s="433"/>
      <c r="D1096" s="432"/>
      <c r="E1096" s="285"/>
      <c r="F1096" s="431"/>
      <c r="G1096" s="496"/>
    </row>
    <row r="1097" spans="1:7" ht="13.5" x14ac:dyDescent="0.25">
      <c r="A1097" s="109" t="s">
        <v>1827</v>
      </c>
      <c r="B1097" s="52"/>
      <c r="C1097" s="50" t="s">
        <v>280</v>
      </c>
      <c r="D1097" s="214" t="s">
        <v>88</v>
      </c>
      <c r="E1097" s="186">
        <v>2.5</v>
      </c>
      <c r="F1097" s="124"/>
      <c r="G1097" s="476"/>
    </row>
    <row r="1098" spans="1:7" x14ac:dyDescent="0.25">
      <c r="A1098" s="404"/>
      <c r="B1098" s="432"/>
      <c r="C1098" s="433"/>
      <c r="D1098" s="432"/>
      <c r="E1098" s="285"/>
      <c r="F1098" s="431"/>
      <c r="G1098" s="496"/>
    </row>
    <row r="1099" spans="1:7" ht="13.5" x14ac:dyDescent="0.25">
      <c r="A1099" s="109" t="s">
        <v>1828</v>
      </c>
      <c r="B1099" s="52"/>
      <c r="C1099" s="50" t="s">
        <v>279</v>
      </c>
      <c r="D1099" s="214" t="s">
        <v>88</v>
      </c>
      <c r="E1099" s="186">
        <v>7.5</v>
      </c>
      <c r="F1099" s="124"/>
      <c r="G1099" s="476"/>
    </row>
    <row r="1100" spans="1:7" x14ac:dyDescent="0.25">
      <c r="A1100" s="404"/>
      <c r="B1100" s="432"/>
      <c r="C1100" s="433"/>
      <c r="D1100" s="432"/>
      <c r="E1100" s="285"/>
      <c r="F1100" s="431"/>
      <c r="G1100" s="496"/>
    </row>
    <row r="1101" spans="1:7" ht="13.5" x14ac:dyDescent="0.25">
      <c r="A1101" s="109" t="s">
        <v>1829</v>
      </c>
      <c r="B1101" s="52"/>
      <c r="C1101" s="50" t="s">
        <v>278</v>
      </c>
      <c r="D1101" s="214" t="s">
        <v>88</v>
      </c>
      <c r="E1101" s="186">
        <v>2</v>
      </c>
      <c r="F1101" s="124"/>
      <c r="G1101" s="476"/>
    </row>
    <row r="1102" spans="1:7" x14ac:dyDescent="0.25">
      <c r="A1102" s="404"/>
      <c r="B1102" s="432"/>
      <c r="C1102" s="433"/>
      <c r="D1102" s="432"/>
      <c r="E1102" s="285"/>
      <c r="F1102" s="431"/>
      <c r="G1102" s="496"/>
    </row>
    <row r="1103" spans="1:7" ht="13.5" x14ac:dyDescent="0.25">
      <c r="A1103" s="109" t="s">
        <v>1830</v>
      </c>
      <c r="B1103" s="52"/>
      <c r="C1103" s="50" t="s">
        <v>277</v>
      </c>
      <c r="D1103" s="214" t="s">
        <v>88</v>
      </c>
      <c r="E1103" s="186">
        <v>2</v>
      </c>
      <c r="F1103" s="124"/>
      <c r="G1103" s="476"/>
    </row>
    <row r="1104" spans="1:7" x14ac:dyDescent="0.25">
      <c r="A1104" s="434"/>
      <c r="B1104" s="432"/>
      <c r="C1104" s="436"/>
      <c r="D1104" s="435"/>
      <c r="E1104" s="466"/>
      <c r="F1104" s="470"/>
      <c r="G1104" s="501"/>
    </row>
    <row r="1105" spans="1:8" ht="13.5" x14ac:dyDescent="0.25">
      <c r="A1105" s="109" t="s">
        <v>1990</v>
      </c>
      <c r="B1105" s="52"/>
      <c r="C1105" s="50" t="s">
        <v>276</v>
      </c>
      <c r="D1105" s="214" t="s">
        <v>88</v>
      </c>
      <c r="E1105" s="186">
        <v>7.5</v>
      </c>
      <c r="F1105" s="124"/>
      <c r="G1105" s="476"/>
    </row>
    <row r="1106" spans="1:8" x14ac:dyDescent="0.25">
      <c r="A1106" s="404"/>
      <c r="B1106" s="432"/>
      <c r="C1106" s="433"/>
      <c r="D1106" s="432"/>
      <c r="E1106" s="285"/>
      <c r="F1106" s="431"/>
      <c r="G1106" s="496"/>
    </row>
    <row r="1107" spans="1:8" s="21" customFormat="1" ht="28.5" customHeight="1" x14ac:dyDescent="0.25">
      <c r="A1107" s="526" t="s">
        <v>609</v>
      </c>
      <c r="B1107" s="526"/>
      <c r="C1107" s="526"/>
      <c r="D1107" s="526"/>
      <c r="E1107" s="526"/>
      <c r="F1107" s="526"/>
      <c r="G1107" s="330"/>
      <c r="H1107" s="182"/>
    </row>
    <row r="1108" spans="1:8" s="21" customFormat="1" ht="28.5" customHeight="1" x14ac:dyDescent="0.25">
      <c r="A1108" s="526" t="s">
        <v>610</v>
      </c>
      <c r="B1108" s="526"/>
      <c r="C1108" s="526"/>
      <c r="D1108" s="526"/>
      <c r="E1108" s="526"/>
      <c r="F1108" s="526"/>
      <c r="G1108" s="330"/>
      <c r="H1108" s="182"/>
    </row>
    <row r="1109" spans="1:8" x14ac:dyDescent="0.25">
      <c r="A1109" s="404"/>
      <c r="B1109" s="432"/>
      <c r="C1109" s="433"/>
      <c r="D1109" s="432"/>
      <c r="E1109" s="285"/>
      <c r="F1109" s="431"/>
      <c r="G1109" s="496"/>
    </row>
    <row r="1110" spans="1:8" ht="13.5" x14ac:dyDescent="0.25">
      <c r="A1110" s="109" t="s">
        <v>1991</v>
      </c>
      <c r="B1110" s="51" t="s">
        <v>205</v>
      </c>
      <c r="C1110" s="50" t="s">
        <v>275</v>
      </c>
      <c r="D1110" s="142" t="s">
        <v>87</v>
      </c>
      <c r="E1110" s="186">
        <v>50</v>
      </c>
      <c r="F1110" s="124"/>
      <c r="G1110" s="476"/>
    </row>
    <row r="1111" spans="1:8" x14ac:dyDescent="0.25">
      <c r="A1111" s="404"/>
      <c r="B1111" s="432"/>
      <c r="C1111" s="433"/>
      <c r="D1111" s="432"/>
      <c r="E1111" s="285"/>
      <c r="F1111" s="431"/>
      <c r="G1111" s="496"/>
    </row>
    <row r="1112" spans="1:8" ht="36" x14ac:dyDescent="0.25">
      <c r="A1112" s="109" t="s">
        <v>1992</v>
      </c>
      <c r="B1112" s="51" t="s">
        <v>13</v>
      </c>
      <c r="C1112" s="50" t="s">
        <v>274</v>
      </c>
      <c r="D1112" s="142" t="s">
        <v>87</v>
      </c>
      <c r="E1112" s="186">
        <v>10</v>
      </c>
      <c r="F1112" s="124"/>
      <c r="G1112" s="476"/>
    </row>
    <row r="1113" spans="1:8" x14ac:dyDescent="0.25">
      <c r="A1113" s="404"/>
      <c r="B1113" s="432"/>
      <c r="C1113" s="433"/>
      <c r="D1113" s="432"/>
      <c r="E1113" s="285"/>
      <c r="F1113" s="431"/>
      <c r="G1113" s="496"/>
    </row>
    <row r="1114" spans="1:8" ht="24" x14ac:dyDescent="0.25">
      <c r="A1114" s="340" t="s">
        <v>1993</v>
      </c>
      <c r="B1114" s="138" t="s">
        <v>2363</v>
      </c>
      <c r="C1114" s="60" t="s">
        <v>2218</v>
      </c>
      <c r="D1114" s="214"/>
      <c r="E1114" s="186"/>
      <c r="F1114" s="124"/>
      <c r="G1114" s="476"/>
    </row>
    <row r="1115" spans="1:8" x14ac:dyDescent="0.25">
      <c r="A1115" s="404"/>
      <c r="B1115" s="432"/>
      <c r="C1115" s="433"/>
      <c r="D1115" s="432"/>
      <c r="E1115" s="285"/>
      <c r="F1115" s="431"/>
      <c r="G1115" s="496"/>
    </row>
    <row r="1116" spans="1:8" ht="13.5" x14ac:dyDescent="0.25">
      <c r="A1116" s="109" t="s">
        <v>2370</v>
      </c>
      <c r="B1116" s="51"/>
      <c r="C1116" s="50" t="s">
        <v>1087</v>
      </c>
      <c r="D1116" s="142" t="s">
        <v>87</v>
      </c>
      <c r="E1116" s="186">
        <v>20</v>
      </c>
      <c r="F1116" s="124"/>
      <c r="G1116" s="476"/>
    </row>
    <row r="1117" spans="1:8" x14ac:dyDescent="0.25">
      <c r="A1117" s="404"/>
      <c r="B1117" s="432"/>
      <c r="C1117" s="433"/>
      <c r="D1117" s="432"/>
      <c r="E1117" s="285"/>
      <c r="F1117" s="431"/>
      <c r="G1117" s="496"/>
    </row>
    <row r="1118" spans="1:8" ht="13.5" x14ac:dyDescent="0.25">
      <c r="A1118" s="109" t="s">
        <v>2371</v>
      </c>
      <c r="B1118" s="51"/>
      <c r="C1118" s="50" t="s">
        <v>2219</v>
      </c>
      <c r="D1118" s="214" t="s">
        <v>88</v>
      </c>
      <c r="E1118" s="186">
        <v>5</v>
      </c>
      <c r="F1118" s="124"/>
      <c r="G1118" s="476"/>
    </row>
    <row r="1119" spans="1:8" x14ac:dyDescent="0.25">
      <c r="A1119" s="404"/>
      <c r="B1119" s="432"/>
      <c r="C1119" s="433"/>
      <c r="D1119" s="432"/>
      <c r="E1119" s="285"/>
      <c r="F1119" s="431"/>
      <c r="G1119" s="496"/>
    </row>
    <row r="1120" spans="1:8" ht="24" x14ac:dyDescent="0.25">
      <c r="A1120" s="340" t="s">
        <v>1831</v>
      </c>
      <c r="B1120" s="138" t="s">
        <v>272</v>
      </c>
      <c r="C1120" s="60" t="s">
        <v>271</v>
      </c>
      <c r="D1120" s="207"/>
      <c r="E1120" s="208"/>
      <c r="F1120" s="125"/>
      <c r="G1120" s="494"/>
    </row>
    <row r="1121" spans="1:7" x14ac:dyDescent="0.25">
      <c r="A1121" s="404"/>
      <c r="B1121" s="432"/>
      <c r="C1121" s="433"/>
      <c r="D1121" s="432"/>
      <c r="E1121" s="285"/>
      <c r="F1121" s="431"/>
      <c r="G1121" s="496"/>
    </row>
    <row r="1122" spans="1:7" ht="48" x14ac:dyDescent="0.25">
      <c r="A1122" s="108"/>
      <c r="B1122" s="153" t="s">
        <v>169</v>
      </c>
      <c r="C1122" s="60" t="s">
        <v>270</v>
      </c>
      <c r="D1122" s="52"/>
      <c r="E1122" s="186"/>
      <c r="F1122" s="124"/>
      <c r="G1122" s="476"/>
    </row>
    <row r="1123" spans="1:7" x14ac:dyDescent="0.25">
      <c r="A1123" s="404"/>
      <c r="B1123" s="432"/>
      <c r="C1123" s="433"/>
      <c r="D1123" s="432"/>
      <c r="E1123" s="285"/>
      <c r="F1123" s="431"/>
      <c r="G1123" s="496"/>
    </row>
    <row r="1124" spans="1:7" ht="24" x14ac:dyDescent="0.25">
      <c r="A1124" s="109"/>
      <c r="B1124" s="66" t="s">
        <v>170</v>
      </c>
      <c r="C1124" s="67" t="s">
        <v>269</v>
      </c>
      <c r="D1124" s="51"/>
      <c r="E1124" s="186"/>
      <c r="F1124" s="124"/>
      <c r="G1124" s="476"/>
    </row>
    <row r="1125" spans="1:7" x14ac:dyDescent="0.25">
      <c r="A1125" s="404"/>
      <c r="B1125" s="432"/>
      <c r="C1125" s="433"/>
      <c r="D1125" s="432"/>
      <c r="E1125" s="285"/>
      <c r="F1125" s="431"/>
      <c r="G1125" s="496"/>
    </row>
    <row r="1126" spans="1:7" ht="13.5" x14ac:dyDescent="0.25">
      <c r="A1126" s="109" t="s">
        <v>1832</v>
      </c>
      <c r="B1126" s="51"/>
      <c r="C1126" s="50" t="s">
        <v>246</v>
      </c>
      <c r="D1126" s="214" t="s">
        <v>88</v>
      </c>
      <c r="E1126" s="186">
        <v>5</v>
      </c>
      <c r="F1126" s="124"/>
      <c r="G1126" s="476"/>
    </row>
    <row r="1127" spans="1:7" x14ac:dyDescent="0.25">
      <c r="A1127" s="404"/>
      <c r="B1127" s="432"/>
      <c r="C1127" s="433"/>
      <c r="D1127" s="432"/>
      <c r="E1127" s="285"/>
      <c r="F1127" s="431"/>
      <c r="G1127" s="496"/>
    </row>
    <row r="1128" spans="1:7" ht="13.5" x14ac:dyDescent="0.25">
      <c r="A1128" s="109" t="s">
        <v>1833</v>
      </c>
      <c r="B1128" s="51"/>
      <c r="C1128" s="50" t="s">
        <v>268</v>
      </c>
      <c r="D1128" s="214" t="s">
        <v>88</v>
      </c>
      <c r="E1128" s="186">
        <v>2.5</v>
      </c>
      <c r="F1128" s="124"/>
      <c r="G1128" s="476"/>
    </row>
    <row r="1129" spans="1:7" x14ac:dyDescent="0.25">
      <c r="A1129" s="404"/>
      <c r="B1129" s="432"/>
      <c r="C1129" s="433"/>
      <c r="D1129" s="432"/>
      <c r="E1129" s="285"/>
      <c r="F1129" s="431"/>
      <c r="G1129" s="496"/>
    </row>
    <row r="1130" spans="1:7" ht="24" x14ac:dyDescent="0.25">
      <c r="A1130" s="109"/>
      <c r="B1130" s="138" t="s">
        <v>267</v>
      </c>
      <c r="C1130" s="60" t="s">
        <v>266</v>
      </c>
      <c r="D1130" s="51"/>
      <c r="E1130" s="186"/>
      <c r="F1130" s="125"/>
      <c r="G1130" s="494"/>
    </row>
    <row r="1131" spans="1:7" x14ac:dyDescent="0.25">
      <c r="A1131" s="404"/>
      <c r="B1131" s="432"/>
      <c r="C1131" s="433"/>
      <c r="D1131" s="432"/>
      <c r="E1131" s="285"/>
      <c r="F1131" s="431"/>
      <c r="G1131" s="496"/>
    </row>
    <row r="1132" spans="1:7" ht="24" x14ac:dyDescent="0.25">
      <c r="A1132" s="109" t="s">
        <v>1834</v>
      </c>
      <c r="B1132" s="51"/>
      <c r="C1132" s="50" t="s">
        <v>265</v>
      </c>
      <c r="D1132" s="214" t="s">
        <v>88</v>
      </c>
      <c r="E1132" s="186">
        <v>2.5</v>
      </c>
      <c r="F1132" s="125"/>
      <c r="G1132" s="476"/>
    </row>
    <row r="1133" spans="1:7" x14ac:dyDescent="0.25">
      <c r="A1133" s="404"/>
      <c r="B1133" s="432"/>
      <c r="C1133" s="433"/>
      <c r="D1133" s="432"/>
      <c r="E1133" s="285"/>
      <c r="F1133" s="431"/>
      <c r="G1133" s="496"/>
    </row>
    <row r="1134" spans="1:7" ht="24" x14ac:dyDescent="0.25">
      <c r="A1134" s="109"/>
      <c r="B1134" s="52"/>
      <c r="C1134" s="353" t="s">
        <v>2242</v>
      </c>
      <c r="D1134" s="142" t="s">
        <v>87</v>
      </c>
      <c r="E1134" s="186">
        <v>15</v>
      </c>
      <c r="F1134" s="125"/>
      <c r="G1134" s="476"/>
    </row>
    <row r="1135" spans="1:7" x14ac:dyDescent="0.25">
      <c r="A1135" s="404"/>
      <c r="B1135" s="432"/>
      <c r="C1135" s="433"/>
      <c r="D1135" s="432"/>
      <c r="E1135" s="285"/>
      <c r="F1135" s="431"/>
      <c r="G1135" s="496"/>
    </row>
    <row r="1136" spans="1:7" ht="24" x14ac:dyDescent="0.25">
      <c r="A1136" s="340" t="s">
        <v>1835</v>
      </c>
      <c r="B1136" s="138" t="s">
        <v>264</v>
      </c>
      <c r="C1136" s="60" t="s">
        <v>245</v>
      </c>
      <c r="D1136" s="51"/>
      <c r="E1136" s="186"/>
      <c r="F1136" s="124"/>
      <c r="G1136" s="476"/>
    </row>
    <row r="1137" spans="1:8" x14ac:dyDescent="0.25">
      <c r="A1137" s="404"/>
      <c r="B1137" s="432"/>
      <c r="C1137" s="433"/>
      <c r="D1137" s="432"/>
      <c r="E1137" s="285"/>
      <c r="F1137" s="431"/>
      <c r="G1137" s="496"/>
    </row>
    <row r="1138" spans="1:8" x14ac:dyDescent="0.25">
      <c r="A1138" s="249" t="s">
        <v>1994</v>
      </c>
      <c r="B1138" s="210" t="s">
        <v>2202</v>
      </c>
      <c r="C1138" s="119" t="s">
        <v>263</v>
      </c>
      <c r="D1138" s="142" t="s">
        <v>8</v>
      </c>
      <c r="E1138" s="187">
        <v>5</v>
      </c>
      <c r="F1138" s="123"/>
      <c r="G1138" s="476"/>
    </row>
    <row r="1139" spans="1:8" x14ac:dyDescent="0.25">
      <c r="A1139" s="404"/>
      <c r="B1139" s="432"/>
      <c r="C1139" s="433"/>
      <c r="D1139" s="432"/>
      <c r="E1139" s="285"/>
      <c r="F1139" s="431"/>
      <c r="G1139" s="496"/>
    </row>
    <row r="1140" spans="1:8" ht="36" x14ac:dyDescent="0.25">
      <c r="A1140" s="249"/>
      <c r="B1140" s="207" t="s">
        <v>2201</v>
      </c>
      <c r="C1140" s="38" t="s">
        <v>751</v>
      </c>
      <c r="D1140" s="142"/>
      <c r="E1140" s="187"/>
      <c r="F1140" s="123"/>
      <c r="G1140" s="498"/>
    </row>
    <row r="1141" spans="1:8" x14ac:dyDescent="0.25">
      <c r="A1141" s="404"/>
      <c r="B1141" s="432"/>
      <c r="C1141" s="433"/>
      <c r="D1141" s="432"/>
      <c r="E1141" s="285"/>
      <c r="F1141" s="431"/>
      <c r="G1141" s="496"/>
    </row>
    <row r="1142" spans="1:8" x14ac:dyDescent="0.25">
      <c r="A1142" s="249" t="s">
        <v>1995</v>
      </c>
      <c r="B1142" s="210"/>
      <c r="C1142" s="119" t="s">
        <v>661</v>
      </c>
      <c r="D1142" s="142" t="s">
        <v>6</v>
      </c>
      <c r="E1142" s="187">
        <v>20</v>
      </c>
      <c r="F1142" s="123"/>
      <c r="G1142" s="476"/>
    </row>
    <row r="1143" spans="1:8" x14ac:dyDescent="0.25">
      <c r="A1143" s="404"/>
      <c r="B1143" s="432"/>
      <c r="C1143" s="433"/>
      <c r="D1143" s="432"/>
      <c r="E1143" s="285"/>
      <c r="F1143" s="431"/>
      <c r="G1143" s="496"/>
    </row>
    <row r="1144" spans="1:8" x14ac:dyDescent="0.25">
      <c r="A1144" s="249" t="s">
        <v>1996</v>
      </c>
      <c r="B1144" s="210"/>
      <c r="C1144" s="119" t="s">
        <v>660</v>
      </c>
      <c r="D1144" s="142" t="s">
        <v>6</v>
      </c>
      <c r="E1144" s="187">
        <v>5</v>
      </c>
      <c r="F1144" s="123"/>
      <c r="G1144" s="476"/>
    </row>
    <row r="1145" spans="1:8" x14ac:dyDescent="0.25">
      <c r="A1145" s="404"/>
      <c r="B1145" s="432"/>
      <c r="C1145" s="433"/>
      <c r="D1145" s="432"/>
      <c r="E1145" s="285"/>
      <c r="F1145" s="431"/>
      <c r="G1145" s="496"/>
    </row>
    <row r="1146" spans="1:8" x14ac:dyDescent="0.25">
      <c r="A1146" s="249"/>
      <c r="B1146" s="210"/>
      <c r="C1146" s="119"/>
      <c r="D1146" s="142"/>
      <c r="E1146" s="187"/>
      <c r="F1146" s="123"/>
      <c r="G1146" s="476"/>
    </row>
    <row r="1147" spans="1:8" x14ac:dyDescent="0.25">
      <c r="A1147" s="404"/>
      <c r="B1147" s="432"/>
      <c r="C1147" s="433"/>
      <c r="D1147" s="432"/>
      <c r="E1147" s="285"/>
      <c r="F1147" s="431"/>
      <c r="G1147" s="496"/>
    </row>
    <row r="1148" spans="1:8" s="21" customFormat="1" ht="28.5" customHeight="1" x14ac:dyDescent="0.25">
      <c r="A1148" s="526" t="s">
        <v>2000</v>
      </c>
      <c r="B1148" s="526"/>
      <c r="C1148" s="526"/>
      <c r="D1148" s="526"/>
      <c r="E1148" s="526"/>
      <c r="F1148" s="526"/>
      <c r="G1148" s="492"/>
      <c r="H1148" s="182"/>
    </row>
  </sheetData>
  <mergeCells count="54">
    <mergeCell ref="A271:F271"/>
    <mergeCell ref="A509:F509"/>
    <mergeCell ref="A510:F510"/>
    <mergeCell ref="A437:F437"/>
    <mergeCell ref="A438:F438"/>
    <mergeCell ref="A470:F470"/>
    <mergeCell ref="A471:F471"/>
    <mergeCell ref="A601:F601"/>
    <mergeCell ref="A1148:F1148"/>
    <mergeCell ref="A1065:F1065"/>
    <mergeCell ref="A1107:F1107"/>
    <mergeCell ref="A1108:F1108"/>
    <mergeCell ref="A982:F982"/>
    <mergeCell ref="A983:F983"/>
    <mergeCell ref="A861:F861"/>
    <mergeCell ref="A862:F862"/>
    <mergeCell ref="A1021:F1021"/>
    <mergeCell ref="A1022:F1022"/>
    <mergeCell ref="A715:F715"/>
    <mergeCell ref="A716:F716"/>
    <mergeCell ref="A824:F824"/>
    <mergeCell ref="A756:F756"/>
    <mergeCell ref="A757:F757"/>
    <mergeCell ref="A634:F634"/>
    <mergeCell ref="A939:F939"/>
    <mergeCell ref="A940:F940"/>
    <mergeCell ref="A901:F901"/>
    <mergeCell ref="A635:F635"/>
    <mergeCell ref="A676:F676"/>
    <mergeCell ref="A677:F677"/>
    <mergeCell ref="A795:F795"/>
    <mergeCell ref="A796:F796"/>
    <mergeCell ref="A823:F823"/>
    <mergeCell ref="C1:G1"/>
    <mergeCell ref="A79:F79"/>
    <mergeCell ref="A80:F80"/>
    <mergeCell ref="A44:F44"/>
    <mergeCell ref="A45:F45"/>
    <mergeCell ref="A123:F123"/>
    <mergeCell ref="A124:F124"/>
    <mergeCell ref="A162:F162"/>
    <mergeCell ref="A163:F163"/>
    <mergeCell ref="A600:F600"/>
    <mergeCell ref="A232:F232"/>
    <mergeCell ref="A233:F233"/>
    <mergeCell ref="A199:F199"/>
    <mergeCell ref="A200:F200"/>
    <mergeCell ref="A355:F355"/>
    <mergeCell ref="A397:F397"/>
    <mergeCell ref="A398:F398"/>
    <mergeCell ref="A354:F354"/>
    <mergeCell ref="A557:F557"/>
    <mergeCell ref="A314:F314"/>
    <mergeCell ref="A270:F270"/>
  </mergeCells>
  <pageMargins left="0.51181102362204722" right="0.39370078740157483" top="0.94488188976377963" bottom="0.74803149606299213" header="0.23622047244094491" footer="0.31496062992125984"/>
  <pageSetup paperSize="9" firstPageNumber="73" fitToHeight="0"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I</oddHeader>
    <oddFooter>&amp;L&amp;"Arial,Regular"&amp;9Bill of Quantities&amp;R&amp;"Arial,Regular"&amp;9BOQ.&amp;P</oddFooter>
  </headerFooter>
  <rowBreaks count="6" manualBreakCount="6">
    <brk id="44" max="6" man="1"/>
    <brk id="123" max="16383" man="1"/>
    <brk id="162" max="6" man="1"/>
    <brk id="557" max="6" man="1"/>
    <brk id="901" max="6" man="1"/>
    <brk id="939"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E9589-1039-49EC-B76C-F9B5C14AB9DE}">
  <dimension ref="A1:G907"/>
  <sheetViews>
    <sheetView view="pageBreakPreview" zoomScale="115" zoomScaleNormal="115" zoomScaleSheetLayoutView="115" workbookViewId="0">
      <selection activeCell="A9" sqref="A9:F9"/>
    </sheetView>
  </sheetViews>
  <sheetFormatPr defaultColWidth="8" defaultRowHeight="12" x14ac:dyDescent="0.25"/>
  <cols>
    <col min="1" max="1" width="8.28515625" style="32" bestFit="1" customWidth="1"/>
    <col min="2" max="2" width="35.140625" style="21" customWidth="1"/>
    <col min="3" max="3" width="5.140625" style="32" customWidth="1"/>
    <col min="4" max="4" width="7.140625" style="59" customWidth="1"/>
    <col min="5" max="5" width="10.28515625" style="68" customWidth="1"/>
    <col min="6" max="6" width="27.5703125" style="95" customWidth="1"/>
    <col min="7" max="16384" width="8" style="21"/>
  </cols>
  <sheetData>
    <row r="1" spans="1:6" ht="15" customHeight="1" x14ac:dyDescent="0.25">
      <c r="A1" s="539" t="s">
        <v>968</v>
      </c>
      <c r="B1" s="528"/>
      <c r="C1" s="528"/>
      <c r="D1" s="528"/>
      <c r="E1" s="528"/>
      <c r="F1" s="529"/>
    </row>
    <row r="2" spans="1:6" ht="27.75" customHeight="1" x14ac:dyDescent="0.25">
      <c r="A2" s="530" t="s">
        <v>2107</v>
      </c>
      <c r="B2" s="531"/>
      <c r="C2" s="531"/>
      <c r="D2" s="531"/>
      <c r="E2" s="531"/>
      <c r="F2" s="532"/>
    </row>
    <row r="3" spans="1:6" ht="12" customHeight="1" x14ac:dyDescent="0.25">
      <c r="A3" s="530"/>
      <c r="B3" s="531"/>
      <c r="C3" s="531"/>
      <c r="D3" s="531"/>
      <c r="E3" s="531"/>
      <c r="F3" s="532"/>
    </row>
    <row r="4" spans="1:6" ht="30" customHeight="1" x14ac:dyDescent="0.25">
      <c r="A4" s="148" t="s">
        <v>1111</v>
      </c>
      <c r="B4" s="533" t="s">
        <v>0</v>
      </c>
      <c r="C4" s="533"/>
      <c r="D4" s="533"/>
      <c r="E4" s="533"/>
      <c r="F4" s="77" t="s">
        <v>77</v>
      </c>
    </row>
    <row r="5" spans="1:6" ht="9.9499999999999993" customHeight="1" x14ac:dyDescent="0.25">
      <c r="A5" s="535"/>
      <c r="B5" s="536"/>
      <c r="C5" s="536"/>
      <c r="D5" s="536"/>
      <c r="E5" s="536"/>
      <c r="F5" s="537"/>
    </row>
    <row r="6" spans="1:6" ht="39.950000000000003" customHeight="1" x14ac:dyDescent="0.25">
      <c r="A6" s="44" t="s">
        <v>240</v>
      </c>
      <c r="B6" s="534" t="s">
        <v>935</v>
      </c>
      <c r="C6" s="534"/>
      <c r="D6" s="534"/>
      <c r="E6" s="534"/>
      <c r="F6" s="158"/>
    </row>
    <row r="7" spans="1:6" ht="9.9499999999999993" customHeight="1" x14ac:dyDescent="0.25">
      <c r="A7" s="535"/>
      <c r="B7" s="536"/>
      <c r="C7" s="536"/>
      <c r="D7" s="536"/>
      <c r="E7" s="536"/>
      <c r="F7" s="537"/>
    </row>
    <row r="8" spans="1:6" ht="39.950000000000003" customHeight="1" x14ac:dyDescent="0.25">
      <c r="A8" s="44" t="s">
        <v>1729</v>
      </c>
      <c r="B8" s="534" t="s">
        <v>2109</v>
      </c>
      <c r="C8" s="534"/>
      <c r="D8" s="534"/>
      <c r="E8" s="534"/>
      <c r="F8" s="158"/>
    </row>
    <row r="9" spans="1:6" ht="9.9499999999999993" customHeight="1" x14ac:dyDescent="0.25">
      <c r="A9" s="535"/>
      <c r="B9" s="536"/>
      <c r="C9" s="536"/>
      <c r="D9" s="536"/>
      <c r="E9" s="536"/>
      <c r="F9" s="537"/>
    </row>
    <row r="10" spans="1:6" ht="39.950000000000003" customHeight="1" x14ac:dyDescent="0.25">
      <c r="A10" s="44" t="s">
        <v>1751</v>
      </c>
      <c r="B10" s="534" t="s">
        <v>2110</v>
      </c>
      <c r="C10" s="534"/>
      <c r="D10" s="534"/>
      <c r="E10" s="534"/>
      <c r="F10" s="299"/>
    </row>
    <row r="11" spans="1:6" ht="9.9499999999999993" customHeight="1" x14ac:dyDescent="0.25">
      <c r="A11" s="535"/>
      <c r="B11" s="536"/>
      <c r="C11" s="536"/>
      <c r="D11" s="536"/>
      <c r="E11" s="536"/>
      <c r="F11" s="537"/>
    </row>
    <row r="12" spans="1:6" ht="39.950000000000003" customHeight="1" x14ac:dyDescent="0.25">
      <c r="A12" s="44" t="s">
        <v>1799</v>
      </c>
      <c r="B12" s="534" t="s">
        <v>2111</v>
      </c>
      <c r="C12" s="534"/>
      <c r="D12" s="534"/>
      <c r="E12" s="534"/>
      <c r="F12" s="299"/>
    </row>
    <row r="13" spans="1:6" ht="9.9499999999999993" customHeight="1" x14ac:dyDescent="0.25">
      <c r="A13" s="535"/>
      <c r="B13" s="536"/>
      <c r="C13" s="536"/>
      <c r="D13" s="536"/>
      <c r="E13" s="536"/>
      <c r="F13" s="537"/>
    </row>
    <row r="14" spans="1:6" ht="39.950000000000003" customHeight="1" x14ac:dyDescent="0.25">
      <c r="A14" s="44" t="s">
        <v>1823</v>
      </c>
      <c r="B14" s="534" t="s">
        <v>1989</v>
      </c>
      <c r="C14" s="534"/>
      <c r="D14" s="534"/>
      <c r="E14" s="534"/>
      <c r="F14" s="299"/>
    </row>
    <row r="15" spans="1:6" ht="9.9499999999999993" customHeight="1" x14ac:dyDescent="0.25">
      <c r="A15" s="535"/>
      <c r="B15" s="536"/>
      <c r="C15" s="536"/>
      <c r="D15" s="536"/>
      <c r="E15" s="536"/>
      <c r="F15" s="537"/>
    </row>
    <row r="16" spans="1:6" ht="39.950000000000003" customHeight="1" x14ac:dyDescent="0.25">
      <c r="A16" s="41" t="s">
        <v>239</v>
      </c>
      <c r="B16" s="526" t="s">
        <v>2108</v>
      </c>
      <c r="C16" s="526"/>
      <c r="D16" s="526"/>
      <c r="E16" s="526"/>
      <c r="F16" s="492"/>
    </row>
    <row r="17" spans="1:6" x14ac:dyDescent="0.25">
      <c r="A17" s="300"/>
      <c r="B17" s="301"/>
      <c r="C17" s="301"/>
      <c r="D17" s="301"/>
      <c r="E17" s="301"/>
      <c r="F17" s="302"/>
    </row>
    <row r="18" spans="1:6" x14ac:dyDescent="0.25">
      <c r="A18" s="300"/>
      <c r="B18" s="301"/>
      <c r="C18" s="301"/>
      <c r="D18" s="301"/>
      <c r="E18" s="301"/>
      <c r="F18" s="302"/>
    </row>
    <row r="19" spans="1:6" x14ac:dyDescent="0.25">
      <c r="A19" s="300"/>
      <c r="B19" s="301"/>
      <c r="C19" s="301"/>
      <c r="D19" s="301"/>
      <c r="E19" s="301"/>
      <c r="F19" s="302"/>
    </row>
    <row r="20" spans="1:6" x14ac:dyDescent="0.25">
      <c r="A20" s="300"/>
      <c r="B20" s="301"/>
      <c r="C20" s="301"/>
      <c r="D20" s="301"/>
      <c r="E20" s="301"/>
      <c r="F20" s="302"/>
    </row>
    <row r="21" spans="1:6" x14ac:dyDescent="0.25">
      <c r="A21" s="300"/>
      <c r="B21" s="301"/>
      <c r="C21" s="301"/>
      <c r="D21" s="301"/>
      <c r="E21" s="301"/>
      <c r="F21" s="302"/>
    </row>
    <row r="22" spans="1:6" x14ac:dyDescent="0.25">
      <c r="A22" s="300"/>
      <c r="B22" s="301"/>
      <c r="C22" s="301"/>
      <c r="D22" s="301"/>
      <c r="E22" s="301"/>
      <c r="F22" s="302"/>
    </row>
    <row r="23" spans="1:6" x14ac:dyDescent="0.25">
      <c r="A23" s="300"/>
      <c r="B23" s="301"/>
      <c r="C23" s="301"/>
      <c r="D23" s="301"/>
      <c r="E23" s="301"/>
      <c r="F23" s="302"/>
    </row>
    <row r="24" spans="1:6" x14ac:dyDescent="0.25">
      <c r="A24" s="300"/>
      <c r="B24" s="301"/>
      <c r="C24" s="301"/>
      <c r="D24" s="301"/>
      <c r="E24" s="301"/>
      <c r="F24" s="302"/>
    </row>
    <row r="25" spans="1:6" x14ac:dyDescent="0.25">
      <c r="A25" s="300"/>
      <c r="B25" s="301"/>
      <c r="C25" s="301"/>
      <c r="D25" s="301"/>
      <c r="E25" s="301"/>
      <c r="F25" s="302"/>
    </row>
    <row r="26" spans="1:6" x14ac:dyDescent="0.25">
      <c r="A26" s="300"/>
      <c r="B26" s="301"/>
      <c r="C26" s="301"/>
      <c r="D26" s="301"/>
      <c r="E26" s="301"/>
      <c r="F26" s="302"/>
    </row>
    <row r="27" spans="1:6" x14ac:dyDescent="0.25">
      <c r="A27" s="300"/>
      <c r="B27" s="301"/>
      <c r="C27" s="301"/>
      <c r="D27" s="301"/>
      <c r="E27" s="301"/>
      <c r="F27" s="302"/>
    </row>
    <row r="28" spans="1:6" x14ac:dyDescent="0.25">
      <c r="A28" s="300"/>
      <c r="B28" s="301"/>
      <c r="C28" s="301"/>
      <c r="D28" s="301"/>
      <c r="E28" s="301"/>
      <c r="F28" s="302"/>
    </row>
    <row r="29" spans="1:6" x14ac:dyDescent="0.25">
      <c r="A29" s="300"/>
      <c r="B29" s="301"/>
      <c r="C29" s="301"/>
      <c r="D29" s="301"/>
      <c r="E29" s="301"/>
      <c r="F29" s="302"/>
    </row>
    <row r="30" spans="1:6" x14ac:dyDescent="0.25">
      <c r="A30" s="300"/>
      <c r="B30" s="301"/>
      <c r="C30" s="301"/>
      <c r="D30" s="301"/>
      <c r="E30" s="301"/>
      <c r="F30" s="302"/>
    </row>
    <row r="31" spans="1:6" x14ac:dyDescent="0.25">
      <c r="A31" s="300"/>
      <c r="B31" s="301"/>
      <c r="C31" s="301"/>
      <c r="D31" s="301"/>
      <c r="E31" s="301"/>
      <c r="F31" s="302"/>
    </row>
    <row r="32" spans="1:6" ht="12" customHeight="1" x14ac:dyDescent="0.25">
      <c r="A32" s="303"/>
      <c r="B32" s="304"/>
      <c r="C32" s="35"/>
      <c r="D32" s="305"/>
      <c r="E32" s="306"/>
      <c r="F32" s="302"/>
    </row>
    <row r="33" spans="1:6" ht="12" customHeight="1" x14ac:dyDescent="0.25">
      <c r="A33" s="303"/>
      <c r="B33" s="304"/>
      <c r="C33" s="35"/>
      <c r="D33" s="305"/>
      <c r="E33" s="306"/>
      <c r="F33" s="302"/>
    </row>
    <row r="34" spans="1:6" ht="12" customHeight="1" x14ac:dyDescent="0.25">
      <c r="A34" s="303"/>
      <c r="B34" s="304"/>
      <c r="C34" s="35"/>
      <c r="D34" s="305"/>
      <c r="E34" s="306"/>
      <c r="F34" s="302"/>
    </row>
    <row r="35" spans="1:6" ht="12" customHeight="1" x14ac:dyDescent="0.25">
      <c r="A35" s="303"/>
      <c r="B35" s="304"/>
      <c r="C35" s="35"/>
      <c r="D35" s="305"/>
      <c r="E35" s="306"/>
      <c r="F35" s="302"/>
    </row>
    <row r="36" spans="1:6" ht="12" customHeight="1" x14ac:dyDescent="0.25">
      <c r="A36" s="303"/>
      <c r="B36" s="304"/>
      <c r="C36" s="35"/>
      <c r="D36" s="305"/>
      <c r="E36" s="306"/>
      <c r="F36" s="302"/>
    </row>
    <row r="37" spans="1:6" ht="12" customHeight="1" x14ac:dyDescent="0.25">
      <c r="A37" s="303"/>
      <c r="B37" s="304"/>
      <c r="C37" s="35"/>
      <c r="D37" s="305"/>
      <c r="E37" s="306"/>
      <c r="F37" s="302"/>
    </row>
    <row r="38" spans="1:6" ht="12" customHeight="1" x14ac:dyDescent="0.25">
      <c r="A38" s="303"/>
      <c r="B38" s="304"/>
      <c r="C38" s="35"/>
      <c r="D38" s="305"/>
      <c r="E38" s="306"/>
      <c r="F38" s="302"/>
    </row>
    <row r="39" spans="1:6" ht="12" customHeight="1" x14ac:dyDescent="0.25">
      <c r="A39" s="303"/>
      <c r="B39" s="304"/>
      <c r="C39" s="35"/>
      <c r="D39" s="305"/>
      <c r="E39" s="306"/>
      <c r="F39" s="302"/>
    </row>
    <row r="40" spans="1:6" ht="12" customHeight="1" x14ac:dyDescent="0.25">
      <c r="A40" s="303"/>
      <c r="B40" s="304"/>
      <c r="C40" s="35"/>
      <c r="D40" s="305"/>
      <c r="E40" s="306"/>
      <c r="F40" s="302"/>
    </row>
    <row r="41" spans="1:6" ht="12" customHeight="1" x14ac:dyDescent="0.25">
      <c r="A41" s="303"/>
      <c r="B41" s="304"/>
      <c r="C41" s="35"/>
      <c r="D41" s="305"/>
      <c r="E41" s="306"/>
      <c r="F41" s="302"/>
    </row>
    <row r="42" spans="1:6" ht="12" customHeight="1" x14ac:dyDescent="0.25">
      <c r="A42" s="303"/>
      <c r="B42" s="304"/>
      <c r="C42" s="35"/>
      <c r="D42" s="305"/>
      <c r="E42" s="306"/>
      <c r="F42" s="302"/>
    </row>
    <row r="43" spans="1:6" ht="12" customHeight="1" x14ac:dyDescent="0.25">
      <c r="A43" s="303"/>
      <c r="B43" s="304"/>
      <c r="C43" s="35"/>
      <c r="D43" s="305"/>
      <c r="E43" s="306"/>
      <c r="F43" s="302"/>
    </row>
    <row r="44" spans="1:6" ht="12" customHeight="1" x14ac:dyDescent="0.25">
      <c r="A44" s="303"/>
      <c r="B44" s="304"/>
      <c r="C44" s="35"/>
      <c r="D44" s="305"/>
      <c r="E44" s="306"/>
      <c r="F44" s="302"/>
    </row>
    <row r="45" spans="1:6" ht="12" customHeight="1" x14ac:dyDescent="0.25">
      <c r="A45" s="303"/>
      <c r="B45" s="304"/>
      <c r="C45" s="35"/>
      <c r="D45" s="305"/>
      <c r="E45" s="306"/>
      <c r="F45" s="302"/>
    </row>
    <row r="46" spans="1:6" ht="12" customHeight="1" x14ac:dyDescent="0.25">
      <c r="A46" s="303"/>
      <c r="B46" s="304"/>
      <c r="C46" s="35"/>
      <c r="D46" s="305"/>
      <c r="E46" s="306"/>
      <c r="F46" s="302"/>
    </row>
    <row r="47" spans="1:6" ht="12" customHeight="1" x14ac:dyDescent="0.25">
      <c r="A47" s="303"/>
      <c r="B47" s="304"/>
      <c r="C47" s="35"/>
      <c r="D47" s="305"/>
      <c r="E47" s="306"/>
      <c r="F47" s="302"/>
    </row>
    <row r="48" spans="1:6" ht="12" customHeight="1" x14ac:dyDescent="0.25">
      <c r="A48" s="303"/>
      <c r="B48" s="39"/>
      <c r="C48" s="35"/>
      <c r="D48" s="307"/>
      <c r="E48" s="308"/>
      <c r="F48" s="309"/>
    </row>
    <row r="49" spans="1:7" ht="12" customHeight="1" x14ac:dyDescent="0.25">
      <c r="A49" s="303"/>
      <c r="B49" s="39"/>
      <c r="C49" s="35"/>
      <c r="D49" s="307"/>
      <c r="E49" s="308"/>
      <c r="F49" s="309"/>
    </row>
    <row r="50" spans="1:7" ht="12" customHeight="1" x14ac:dyDescent="0.25">
      <c r="A50" s="303"/>
      <c r="B50" s="304"/>
      <c r="C50" s="35"/>
      <c r="D50" s="307"/>
      <c r="E50" s="308"/>
      <c r="F50" s="309"/>
    </row>
    <row r="51" spans="1:7" ht="12" customHeight="1" x14ac:dyDescent="0.25">
      <c r="A51" s="303"/>
      <c r="B51" s="310"/>
      <c r="C51" s="35"/>
      <c r="D51" s="307"/>
      <c r="E51" s="308"/>
      <c r="F51" s="309"/>
    </row>
    <row r="52" spans="1:7" ht="12" customHeight="1" x14ac:dyDescent="0.25">
      <c r="A52" s="303"/>
      <c r="B52" s="311"/>
      <c r="C52" s="35"/>
      <c r="D52" s="307"/>
      <c r="E52" s="308"/>
      <c r="F52" s="309"/>
    </row>
    <row r="53" spans="1:7" s="32" customFormat="1" ht="15" customHeight="1" x14ac:dyDescent="0.25">
      <c r="B53" s="39"/>
      <c r="D53" s="59"/>
      <c r="E53" s="68"/>
      <c r="F53" s="95"/>
      <c r="G53" s="21"/>
    </row>
    <row r="54" spans="1:7" s="32" customFormat="1" ht="15" customHeight="1" x14ac:dyDescent="0.25">
      <c r="B54" s="39"/>
      <c r="D54" s="59"/>
      <c r="E54" s="68"/>
      <c r="F54" s="95"/>
      <c r="G54" s="21"/>
    </row>
    <row r="55" spans="1:7" s="32" customFormat="1" ht="15" customHeight="1" x14ac:dyDescent="0.25">
      <c r="B55" s="39"/>
      <c r="D55" s="59"/>
      <c r="E55" s="68"/>
      <c r="F55" s="95"/>
      <c r="G55" s="21"/>
    </row>
    <row r="56" spans="1:7" s="32" customFormat="1" ht="15" customHeight="1" x14ac:dyDescent="0.25">
      <c r="B56" s="39"/>
      <c r="D56" s="59"/>
      <c r="E56" s="68"/>
      <c r="F56" s="95"/>
      <c r="G56" s="21"/>
    </row>
    <row r="57" spans="1:7" s="32" customFormat="1" ht="15" customHeight="1" x14ac:dyDescent="0.25">
      <c r="B57" s="39"/>
      <c r="D57" s="59"/>
      <c r="E57" s="68"/>
      <c r="F57" s="95"/>
      <c r="G57" s="21"/>
    </row>
    <row r="58" spans="1:7" s="32" customFormat="1" ht="15" customHeight="1" x14ac:dyDescent="0.25">
      <c r="B58" s="39"/>
      <c r="D58" s="59"/>
      <c r="E58" s="68"/>
      <c r="F58" s="95"/>
      <c r="G58" s="21"/>
    </row>
    <row r="59" spans="1:7" s="32" customFormat="1" ht="15" customHeight="1" x14ac:dyDescent="0.25">
      <c r="B59" s="39"/>
      <c r="D59" s="59"/>
      <c r="E59" s="68"/>
      <c r="F59" s="95"/>
      <c r="G59" s="21"/>
    </row>
    <row r="60" spans="1:7" s="32" customFormat="1" ht="15" customHeight="1" x14ac:dyDescent="0.25">
      <c r="B60" s="39"/>
      <c r="D60" s="59"/>
      <c r="E60" s="68"/>
      <c r="F60" s="95"/>
      <c r="G60" s="21"/>
    </row>
    <row r="61" spans="1:7" s="32" customFormat="1" ht="15" customHeight="1" x14ac:dyDescent="0.25">
      <c r="B61" s="39"/>
      <c r="D61" s="59"/>
      <c r="E61" s="68"/>
      <c r="F61" s="95"/>
      <c r="G61" s="21"/>
    </row>
    <row r="62" spans="1:7" s="32" customFormat="1" ht="15" customHeight="1" x14ac:dyDescent="0.25">
      <c r="B62" s="39"/>
      <c r="D62" s="59"/>
      <c r="E62" s="68"/>
      <c r="F62" s="95"/>
      <c r="G62" s="21"/>
    </row>
    <row r="63" spans="1:7" s="32" customFormat="1" ht="15" customHeight="1" x14ac:dyDescent="0.25">
      <c r="B63" s="39"/>
      <c r="D63" s="59"/>
      <c r="E63" s="68"/>
      <c r="F63" s="95"/>
      <c r="G63" s="21"/>
    </row>
    <row r="64" spans="1:7" s="32" customFormat="1" ht="15" customHeight="1" x14ac:dyDescent="0.25">
      <c r="B64" s="39"/>
      <c r="D64" s="59"/>
      <c r="E64" s="68"/>
      <c r="F64" s="95"/>
      <c r="G64" s="21"/>
    </row>
    <row r="65" spans="2:7" s="32" customFormat="1" ht="15" customHeight="1" x14ac:dyDescent="0.25">
      <c r="B65" s="39"/>
      <c r="D65" s="59"/>
      <c r="E65" s="68"/>
      <c r="F65" s="95"/>
      <c r="G65" s="21"/>
    </row>
    <row r="66" spans="2:7" s="32" customFormat="1" ht="15" customHeight="1" x14ac:dyDescent="0.25">
      <c r="B66" s="39"/>
      <c r="D66" s="59"/>
      <c r="E66" s="68"/>
      <c r="F66" s="95"/>
      <c r="G66" s="21"/>
    </row>
    <row r="67" spans="2:7" s="32" customFormat="1" ht="15" customHeight="1" x14ac:dyDescent="0.25">
      <c r="B67" s="39"/>
      <c r="D67" s="59"/>
      <c r="E67" s="68"/>
      <c r="F67" s="95"/>
      <c r="G67" s="21"/>
    </row>
    <row r="68" spans="2:7" s="32" customFormat="1" ht="15" customHeight="1" x14ac:dyDescent="0.25">
      <c r="B68" s="39"/>
      <c r="D68" s="59"/>
      <c r="E68" s="68"/>
      <c r="F68" s="95"/>
      <c r="G68" s="21"/>
    </row>
    <row r="69" spans="2:7" s="32" customFormat="1" ht="15" customHeight="1" x14ac:dyDescent="0.25">
      <c r="B69" s="39"/>
      <c r="D69" s="59"/>
      <c r="E69" s="68"/>
      <c r="F69" s="95"/>
      <c r="G69" s="21"/>
    </row>
    <row r="70" spans="2:7" s="32" customFormat="1" ht="15" customHeight="1" x14ac:dyDescent="0.25">
      <c r="B70" s="39"/>
      <c r="D70" s="59"/>
      <c r="E70" s="68"/>
      <c r="F70" s="95"/>
      <c r="G70" s="21"/>
    </row>
    <row r="71" spans="2:7" s="32" customFormat="1" ht="15" customHeight="1" x14ac:dyDescent="0.25">
      <c r="B71" s="39"/>
      <c r="D71" s="59"/>
      <c r="E71" s="68"/>
      <c r="F71" s="95"/>
      <c r="G71" s="21"/>
    </row>
    <row r="72" spans="2:7" s="32" customFormat="1" ht="15" customHeight="1" x14ac:dyDescent="0.25">
      <c r="B72" s="39"/>
      <c r="D72" s="59"/>
      <c r="E72" s="68"/>
      <c r="F72" s="95"/>
      <c r="G72" s="21"/>
    </row>
    <row r="73" spans="2:7" s="32" customFormat="1" ht="15" customHeight="1" x14ac:dyDescent="0.25">
      <c r="B73" s="39"/>
      <c r="D73" s="59"/>
      <c r="E73" s="68"/>
      <c r="F73" s="95"/>
      <c r="G73" s="21"/>
    </row>
    <row r="74" spans="2:7" s="32" customFormat="1" ht="15" customHeight="1" x14ac:dyDescent="0.25">
      <c r="B74" s="39"/>
      <c r="D74" s="59"/>
      <c r="E74" s="68"/>
      <c r="F74" s="95"/>
      <c r="G74" s="21"/>
    </row>
    <row r="75" spans="2:7" s="32" customFormat="1" ht="15" customHeight="1" x14ac:dyDescent="0.25">
      <c r="B75" s="39"/>
      <c r="D75" s="59"/>
      <c r="E75" s="68"/>
      <c r="F75" s="95"/>
      <c r="G75" s="21"/>
    </row>
    <row r="76" spans="2:7" s="32" customFormat="1" ht="15" customHeight="1" x14ac:dyDescent="0.25">
      <c r="B76" s="39"/>
      <c r="D76" s="59"/>
      <c r="E76" s="68"/>
      <c r="F76" s="95"/>
      <c r="G76" s="21"/>
    </row>
    <row r="77" spans="2:7" s="32" customFormat="1" ht="15" customHeight="1" x14ac:dyDescent="0.25">
      <c r="B77" s="39"/>
      <c r="D77" s="59"/>
      <c r="E77" s="68"/>
      <c r="F77" s="95"/>
      <c r="G77" s="21"/>
    </row>
    <row r="78" spans="2:7" s="32" customFormat="1" ht="15" customHeight="1" x14ac:dyDescent="0.25">
      <c r="B78" s="39"/>
      <c r="D78" s="59"/>
      <c r="E78" s="68"/>
      <c r="F78" s="95"/>
      <c r="G78" s="21"/>
    </row>
    <row r="79" spans="2:7" s="32" customFormat="1" ht="15" customHeight="1" x14ac:dyDescent="0.25">
      <c r="B79" s="39"/>
      <c r="D79" s="59"/>
      <c r="E79" s="68"/>
      <c r="F79" s="95"/>
      <c r="G79" s="21"/>
    </row>
    <row r="80" spans="2:7" s="32" customFormat="1" ht="15" customHeight="1" x14ac:dyDescent="0.25">
      <c r="B80" s="39"/>
      <c r="D80" s="59"/>
      <c r="E80" s="68"/>
      <c r="F80" s="95"/>
      <c r="G80" s="21"/>
    </row>
    <row r="81" spans="2:7" s="32" customFormat="1" ht="15" customHeight="1" x14ac:dyDescent="0.25">
      <c r="B81" s="39"/>
      <c r="D81" s="59"/>
      <c r="E81" s="68"/>
      <c r="F81" s="95"/>
      <c r="G81" s="21"/>
    </row>
    <row r="82" spans="2:7" s="32" customFormat="1" ht="15" customHeight="1" x14ac:dyDescent="0.25">
      <c r="B82" s="39"/>
      <c r="D82" s="59"/>
      <c r="E82" s="68"/>
      <c r="F82" s="95"/>
      <c r="G82" s="21"/>
    </row>
    <row r="83" spans="2:7" s="32" customFormat="1" ht="15" customHeight="1" x14ac:dyDescent="0.25">
      <c r="B83" s="39"/>
      <c r="D83" s="59"/>
      <c r="E83" s="68"/>
      <c r="F83" s="95"/>
      <c r="G83" s="21"/>
    </row>
    <row r="84" spans="2:7" s="32" customFormat="1" ht="15" customHeight="1" x14ac:dyDescent="0.25">
      <c r="B84" s="39"/>
      <c r="D84" s="59"/>
      <c r="E84" s="68"/>
      <c r="F84" s="95"/>
      <c r="G84" s="21"/>
    </row>
    <row r="85" spans="2:7" s="32" customFormat="1" ht="15" customHeight="1" x14ac:dyDescent="0.25">
      <c r="B85" s="39"/>
      <c r="D85" s="59"/>
      <c r="E85" s="68"/>
      <c r="F85" s="95"/>
      <c r="G85" s="21"/>
    </row>
    <row r="86" spans="2:7" s="32" customFormat="1" ht="15" customHeight="1" x14ac:dyDescent="0.25">
      <c r="B86" s="39"/>
      <c r="D86" s="59"/>
      <c r="E86" s="68"/>
      <c r="F86" s="95"/>
      <c r="G86" s="21"/>
    </row>
    <row r="87" spans="2:7" s="32" customFormat="1" ht="15" customHeight="1" x14ac:dyDescent="0.25">
      <c r="B87" s="39"/>
      <c r="D87" s="59"/>
      <c r="E87" s="68"/>
      <c r="F87" s="95"/>
      <c r="G87" s="21"/>
    </row>
    <row r="88" spans="2:7" s="32" customFormat="1" ht="15" customHeight="1" x14ac:dyDescent="0.25">
      <c r="B88" s="39"/>
      <c r="D88" s="59"/>
      <c r="E88" s="68"/>
      <c r="F88" s="95"/>
      <c r="G88" s="21"/>
    </row>
    <row r="89" spans="2:7" s="32" customFormat="1" ht="15" customHeight="1" x14ac:dyDescent="0.25">
      <c r="B89" s="39"/>
      <c r="D89" s="59"/>
      <c r="E89" s="68"/>
      <c r="F89" s="95"/>
      <c r="G89" s="21"/>
    </row>
    <row r="90" spans="2:7" s="32" customFormat="1" ht="15" customHeight="1" x14ac:dyDescent="0.25">
      <c r="B90" s="39"/>
      <c r="D90" s="59"/>
      <c r="E90" s="68"/>
      <c r="F90" s="95"/>
      <c r="G90" s="21"/>
    </row>
    <row r="91" spans="2:7" s="32" customFormat="1" ht="15" customHeight="1" x14ac:dyDescent="0.25">
      <c r="B91" s="39"/>
      <c r="D91" s="59"/>
      <c r="E91" s="68"/>
      <c r="F91" s="95"/>
      <c r="G91" s="21"/>
    </row>
    <row r="92" spans="2:7" s="32" customFormat="1" ht="15" customHeight="1" x14ac:dyDescent="0.25">
      <c r="B92" s="39"/>
      <c r="D92" s="59"/>
      <c r="E92" s="68"/>
      <c r="F92" s="95"/>
      <c r="G92" s="21"/>
    </row>
    <row r="93" spans="2:7" s="32" customFormat="1" ht="15" customHeight="1" x14ac:dyDescent="0.25">
      <c r="B93" s="39"/>
      <c r="D93" s="59"/>
      <c r="E93" s="68"/>
      <c r="F93" s="95"/>
      <c r="G93" s="21"/>
    </row>
    <row r="94" spans="2:7" s="32" customFormat="1" ht="15" customHeight="1" x14ac:dyDescent="0.25">
      <c r="B94" s="39"/>
      <c r="D94" s="59"/>
      <c r="E94" s="68"/>
      <c r="F94" s="95"/>
      <c r="G94" s="21"/>
    </row>
    <row r="95" spans="2:7" s="32" customFormat="1" ht="15" customHeight="1" x14ac:dyDescent="0.25">
      <c r="B95" s="39"/>
      <c r="D95" s="59"/>
      <c r="E95" s="68"/>
      <c r="F95" s="95"/>
      <c r="G95" s="21"/>
    </row>
    <row r="96" spans="2:7" s="32" customFormat="1" ht="15" customHeight="1" x14ac:dyDescent="0.25">
      <c r="B96" s="39"/>
      <c r="D96" s="59"/>
      <c r="E96" s="68"/>
      <c r="F96" s="95"/>
      <c r="G96" s="21"/>
    </row>
    <row r="97" spans="2:7" s="32" customFormat="1" ht="15" customHeight="1" x14ac:dyDescent="0.25">
      <c r="B97" s="39"/>
      <c r="D97" s="59"/>
      <c r="E97" s="68"/>
      <c r="F97" s="95"/>
      <c r="G97" s="21"/>
    </row>
    <row r="98" spans="2:7" s="32" customFormat="1" ht="15" customHeight="1" x14ac:dyDescent="0.25">
      <c r="B98" s="39"/>
      <c r="D98" s="59"/>
      <c r="E98" s="68"/>
      <c r="F98" s="95"/>
      <c r="G98" s="21"/>
    </row>
    <row r="99" spans="2:7" s="32" customFormat="1" ht="15" customHeight="1" x14ac:dyDescent="0.25">
      <c r="B99" s="39"/>
      <c r="D99" s="59"/>
      <c r="E99" s="68"/>
      <c r="F99" s="95"/>
      <c r="G99" s="21"/>
    </row>
    <row r="100" spans="2:7" s="32" customFormat="1" ht="15" customHeight="1" x14ac:dyDescent="0.25">
      <c r="B100" s="39"/>
      <c r="D100" s="59"/>
      <c r="E100" s="68"/>
      <c r="F100" s="95"/>
      <c r="G100" s="21"/>
    </row>
    <row r="101" spans="2:7" s="32" customFormat="1" ht="15" customHeight="1" x14ac:dyDescent="0.25">
      <c r="B101" s="39"/>
      <c r="D101" s="59"/>
      <c r="E101" s="68"/>
      <c r="F101" s="95"/>
      <c r="G101" s="21"/>
    </row>
    <row r="102" spans="2:7" s="32" customFormat="1" ht="15" customHeight="1" x14ac:dyDescent="0.25">
      <c r="B102" s="39"/>
      <c r="D102" s="59"/>
      <c r="E102" s="68"/>
      <c r="F102" s="95"/>
      <c r="G102" s="21"/>
    </row>
    <row r="103" spans="2:7" s="32" customFormat="1" ht="15" customHeight="1" x14ac:dyDescent="0.25">
      <c r="B103" s="39"/>
      <c r="D103" s="59"/>
      <c r="E103" s="68"/>
      <c r="F103" s="95"/>
      <c r="G103" s="21"/>
    </row>
    <row r="104" spans="2:7" s="32" customFormat="1" ht="15" customHeight="1" x14ac:dyDescent="0.25">
      <c r="B104" s="39"/>
      <c r="D104" s="59"/>
      <c r="E104" s="68"/>
      <c r="F104" s="95"/>
      <c r="G104" s="21"/>
    </row>
    <row r="105" spans="2:7" s="32" customFormat="1" ht="15" customHeight="1" x14ac:dyDescent="0.25">
      <c r="B105" s="39"/>
      <c r="D105" s="59"/>
      <c r="E105" s="68"/>
      <c r="F105" s="95"/>
      <c r="G105" s="21"/>
    </row>
    <row r="106" spans="2:7" s="32" customFormat="1" ht="15" customHeight="1" x14ac:dyDescent="0.25">
      <c r="B106" s="39"/>
      <c r="D106" s="59"/>
      <c r="E106" s="68"/>
      <c r="F106" s="95"/>
      <c r="G106" s="21"/>
    </row>
    <row r="107" spans="2:7" s="32" customFormat="1" ht="15" customHeight="1" x14ac:dyDescent="0.25">
      <c r="B107" s="39"/>
      <c r="D107" s="59"/>
      <c r="E107" s="68"/>
      <c r="F107" s="95"/>
      <c r="G107" s="21"/>
    </row>
    <row r="108" spans="2:7" s="32" customFormat="1" ht="15" customHeight="1" x14ac:dyDescent="0.25">
      <c r="B108" s="39"/>
      <c r="D108" s="59"/>
      <c r="E108" s="68"/>
      <c r="F108" s="95"/>
      <c r="G108" s="21"/>
    </row>
    <row r="109" spans="2:7" s="32" customFormat="1" ht="15" customHeight="1" x14ac:dyDescent="0.25">
      <c r="B109" s="39"/>
      <c r="D109" s="59"/>
      <c r="E109" s="68"/>
      <c r="F109" s="95"/>
      <c r="G109" s="21"/>
    </row>
    <row r="110" spans="2:7" s="32" customFormat="1" ht="15" customHeight="1" x14ac:dyDescent="0.25">
      <c r="B110" s="39"/>
      <c r="D110" s="59"/>
      <c r="E110" s="68"/>
      <c r="F110" s="95"/>
      <c r="G110" s="21"/>
    </row>
    <row r="111" spans="2:7" s="32" customFormat="1" ht="15" customHeight="1" x14ac:dyDescent="0.25">
      <c r="B111" s="39"/>
      <c r="D111" s="59"/>
      <c r="E111" s="68"/>
      <c r="F111" s="95"/>
      <c r="G111" s="21"/>
    </row>
    <row r="112" spans="2:7" s="32" customFormat="1" ht="15" customHeight="1" x14ac:dyDescent="0.25">
      <c r="B112" s="39"/>
      <c r="D112" s="59"/>
      <c r="E112" s="68"/>
      <c r="F112" s="95"/>
      <c r="G112" s="21"/>
    </row>
    <row r="113" spans="2:7" s="32" customFormat="1" ht="15" customHeight="1" x14ac:dyDescent="0.25">
      <c r="B113" s="39"/>
      <c r="D113" s="59"/>
      <c r="E113" s="68"/>
      <c r="F113" s="95"/>
      <c r="G113" s="21"/>
    </row>
    <row r="114" spans="2:7" s="32" customFormat="1" ht="15" customHeight="1" x14ac:dyDescent="0.25">
      <c r="B114" s="39"/>
      <c r="D114" s="59"/>
      <c r="E114" s="68"/>
      <c r="F114" s="95"/>
      <c r="G114" s="21"/>
    </row>
    <row r="115" spans="2:7" s="32" customFormat="1" ht="15" customHeight="1" x14ac:dyDescent="0.25">
      <c r="B115" s="39"/>
      <c r="D115" s="59"/>
      <c r="E115" s="68"/>
      <c r="F115" s="95"/>
      <c r="G115" s="21"/>
    </row>
    <row r="116" spans="2:7" s="32" customFormat="1" ht="15" customHeight="1" x14ac:dyDescent="0.25">
      <c r="B116" s="39"/>
      <c r="D116" s="59"/>
      <c r="E116" s="68"/>
      <c r="F116" s="95"/>
      <c r="G116" s="21"/>
    </row>
    <row r="117" spans="2:7" s="32" customFormat="1" ht="15" customHeight="1" x14ac:dyDescent="0.25">
      <c r="B117" s="39"/>
      <c r="D117" s="59"/>
      <c r="E117" s="68"/>
      <c r="F117" s="95"/>
      <c r="G117" s="21"/>
    </row>
    <row r="118" spans="2:7" s="32" customFormat="1" ht="15" customHeight="1" x14ac:dyDescent="0.25">
      <c r="B118" s="39"/>
      <c r="D118" s="59"/>
      <c r="E118" s="68"/>
      <c r="F118" s="95"/>
      <c r="G118" s="21"/>
    </row>
    <row r="119" spans="2:7" s="32" customFormat="1" ht="15" customHeight="1" x14ac:dyDescent="0.25">
      <c r="B119" s="39"/>
      <c r="D119" s="59"/>
      <c r="E119" s="68"/>
      <c r="F119" s="95"/>
      <c r="G119" s="21"/>
    </row>
    <row r="120" spans="2:7" s="32" customFormat="1" ht="15" customHeight="1" x14ac:dyDescent="0.25">
      <c r="B120" s="39"/>
      <c r="D120" s="59"/>
      <c r="E120" s="68"/>
      <c r="F120" s="95"/>
      <c r="G120" s="21"/>
    </row>
    <row r="121" spans="2:7" s="32" customFormat="1" ht="15" customHeight="1" x14ac:dyDescent="0.25">
      <c r="B121" s="39"/>
      <c r="D121" s="59"/>
      <c r="E121" s="68"/>
      <c r="F121" s="95"/>
      <c r="G121" s="21"/>
    </row>
    <row r="122" spans="2:7" s="32" customFormat="1" ht="15" customHeight="1" x14ac:dyDescent="0.25">
      <c r="B122" s="39"/>
      <c r="D122" s="59"/>
      <c r="E122" s="68"/>
      <c r="F122" s="95"/>
      <c r="G122" s="21"/>
    </row>
    <row r="123" spans="2:7" s="32" customFormat="1" ht="15" customHeight="1" x14ac:dyDescent="0.25">
      <c r="B123" s="39"/>
      <c r="D123" s="59"/>
      <c r="E123" s="68"/>
      <c r="F123" s="95"/>
      <c r="G123" s="21"/>
    </row>
    <row r="124" spans="2:7" s="32" customFormat="1" ht="15" customHeight="1" x14ac:dyDescent="0.25">
      <c r="B124" s="39"/>
      <c r="D124" s="59"/>
      <c r="E124" s="68"/>
      <c r="F124" s="95"/>
      <c r="G124" s="21"/>
    </row>
    <row r="125" spans="2:7" s="32" customFormat="1" ht="15" customHeight="1" x14ac:dyDescent="0.25">
      <c r="B125" s="39"/>
      <c r="D125" s="59"/>
      <c r="E125" s="68"/>
      <c r="F125" s="95"/>
      <c r="G125" s="21"/>
    </row>
    <row r="126" spans="2:7" s="32" customFormat="1" ht="15" customHeight="1" x14ac:dyDescent="0.25">
      <c r="B126" s="39"/>
      <c r="D126" s="59"/>
      <c r="E126" s="68"/>
      <c r="F126" s="95"/>
      <c r="G126" s="21"/>
    </row>
    <row r="127" spans="2:7" s="32" customFormat="1" ht="15" customHeight="1" x14ac:dyDescent="0.25">
      <c r="B127" s="39"/>
      <c r="D127" s="59"/>
      <c r="E127" s="68"/>
      <c r="F127" s="95"/>
      <c r="G127" s="21"/>
    </row>
    <row r="128" spans="2:7" s="32" customFormat="1" ht="15" customHeight="1" x14ac:dyDescent="0.25">
      <c r="B128" s="39"/>
      <c r="D128" s="59"/>
      <c r="E128" s="68"/>
      <c r="F128" s="95"/>
      <c r="G128" s="21"/>
    </row>
    <row r="129" spans="2:7" s="32" customFormat="1" ht="15" customHeight="1" x14ac:dyDescent="0.25">
      <c r="B129" s="39"/>
      <c r="D129" s="59"/>
      <c r="E129" s="68"/>
      <c r="F129" s="95"/>
      <c r="G129" s="21"/>
    </row>
    <row r="130" spans="2:7" s="32" customFormat="1" ht="15" customHeight="1" x14ac:dyDescent="0.25">
      <c r="B130" s="39"/>
      <c r="D130" s="59"/>
      <c r="E130" s="68"/>
      <c r="F130" s="95"/>
      <c r="G130" s="21"/>
    </row>
    <row r="131" spans="2:7" s="32" customFormat="1" ht="15" customHeight="1" x14ac:dyDescent="0.25">
      <c r="B131" s="39"/>
      <c r="D131" s="59"/>
      <c r="E131" s="68"/>
      <c r="F131" s="95"/>
      <c r="G131" s="21"/>
    </row>
    <row r="132" spans="2:7" s="32" customFormat="1" ht="15" customHeight="1" x14ac:dyDescent="0.25">
      <c r="B132" s="39"/>
      <c r="D132" s="59"/>
      <c r="E132" s="68"/>
      <c r="F132" s="95"/>
      <c r="G132" s="21"/>
    </row>
    <row r="133" spans="2:7" s="32" customFormat="1" ht="15" customHeight="1" x14ac:dyDescent="0.25">
      <c r="B133" s="39"/>
      <c r="D133" s="59"/>
      <c r="E133" s="68"/>
      <c r="F133" s="95"/>
      <c r="G133" s="21"/>
    </row>
    <row r="134" spans="2:7" s="32" customFormat="1" ht="15" customHeight="1" x14ac:dyDescent="0.25">
      <c r="B134" s="39"/>
      <c r="D134" s="59"/>
      <c r="E134" s="68"/>
      <c r="F134" s="95"/>
      <c r="G134" s="21"/>
    </row>
    <row r="135" spans="2:7" s="32" customFormat="1" ht="15" customHeight="1" x14ac:dyDescent="0.25">
      <c r="B135" s="39"/>
      <c r="D135" s="59"/>
      <c r="E135" s="68"/>
      <c r="F135" s="95"/>
      <c r="G135" s="21"/>
    </row>
    <row r="136" spans="2:7" s="32" customFormat="1" ht="15" customHeight="1" x14ac:dyDescent="0.25">
      <c r="B136" s="39"/>
      <c r="D136" s="59"/>
      <c r="E136" s="68"/>
      <c r="F136" s="95"/>
      <c r="G136" s="21"/>
    </row>
    <row r="137" spans="2:7" s="32" customFormat="1" ht="15" customHeight="1" x14ac:dyDescent="0.25">
      <c r="B137" s="39"/>
      <c r="D137" s="59"/>
      <c r="E137" s="68"/>
      <c r="F137" s="95"/>
      <c r="G137" s="21"/>
    </row>
    <row r="138" spans="2:7" s="32" customFormat="1" ht="15" customHeight="1" x14ac:dyDescent="0.25">
      <c r="B138" s="39"/>
      <c r="D138" s="59"/>
      <c r="E138" s="68"/>
      <c r="F138" s="95"/>
      <c r="G138" s="21"/>
    </row>
    <row r="139" spans="2:7" s="32" customFormat="1" ht="15" customHeight="1" x14ac:dyDescent="0.25">
      <c r="B139" s="39"/>
      <c r="D139" s="59"/>
      <c r="E139" s="68"/>
      <c r="F139" s="95"/>
      <c r="G139" s="21"/>
    </row>
    <row r="140" spans="2:7" s="32" customFormat="1" ht="15" customHeight="1" x14ac:dyDescent="0.25">
      <c r="B140" s="39"/>
      <c r="D140" s="59"/>
      <c r="E140" s="68"/>
      <c r="F140" s="95"/>
      <c r="G140" s="21"/>
    </row>
    <row r="141" spans="2:7" s="32" customFormat="1" ht="15" customHeight="1" x14ac:dyDescent="0.25">
      <c r="B141" s="39"/>
      <c r="D141" s="59"/>
      <c r="E141" s="68"/>
      <c r="F141" s="95"/>
      <c r="G141" s="21"/>
    </row>
    <row r="142" spans="2:7" s="32" customFormat="1" ht="15" customHeight="1" x14ac:dyDescent="0.25">
      <c r="B142" s="39"/>
      <c r="D142" s="59"/>
      <c r="E142" s="68"/>
      <c r="F142" s="95"/>
      <c r="G142" s="21"/>
    </row>
    <row r="143" spans="2:7" s="32" customFormat="1" ht="15" customHeight="1" x14ac:dyDescent="0.25">
      <c r="B143" s="39"/>
      <c r="D143" s="59"/>
      <c r="E143" s="68"/>
      <c r="F143" s="95"/>
      <c r="G143" s="21"/>
    </row>
    <row r="144" spans="2:7" s="32" customFormat="1" ht="15" customHeight="1" x14ac:dyDescent="0.25">
      <c r="B144" s="39"/>
      <c r="D144" s="59"/>
      <c r="E144" s="68"/>
      <c r="F144" s="95"/>
      <c r="G144" s="21"/>
    </row>
    <row r="145" spans="2:7" s="32" customFormat="1" ht="15" customHeight="1" x14ac:dyDescent="0.25">
      <c r="B145" s="39"/>
      <c r="D145" s="59"/>
      <c r="E145" s="68"/>
      <c r="F145" s="95"/>
      <c r="G145" s="21"/>
    </row>
    <row r="146" spans="2:7" s="32" customFormat="1" ht="15" customHeight="1" x14ac:dyDescent="0.25">
      <c r="B146" s="39"/>
      <c r="D146" s="59"/>
      <c r="E146" s="68"/>
      <c r="F146" s="95"/>
      <c r="G146" s="21"/>
    </row>
    <row r="147" spans="2:7" s="32" customFormat="1" ht="15" customHeight="1" x14ac:dyDescent="0.25">
      <c r="B147" s="39"/>
      <c r="D147" s="59"/>
      <c r="E147" s="68"/>
      <c r="F147" s="95"/>
      <c r="G147" s="21"/>
    </row>
    <row r="148" spans="2:7" s="32" customFormat="1" ht="15" customHeight="1" x14ac:dyDescent="0.25">
      <c r="B148" s="39"/>
      <c r="D148" s="59"/>
      <c r="E148" s="68"/>
      <c r="F148" s="95"/>
      <c r="G148" s="21"/>
    </row>
    <row r="149" spans="2:7" s="32" customFormat="1" ht="15" customHeight="1" x14ac:dyDescent="0.25">
      <c r="B149" s="39"/>
      <c r="D149" s="59"/>
      <c r="E149" s="68"/>
      <c r="F149" s="95"/>
      <c r="G149" s="21"/>
    </row>
    <row r="150" spans="2:7" s="32" customFormat="1" ht="15" customHeight="1" x14ac:dyDescent="0.25">
      <c r="B150" s="39"/>
      <c r="D150" s="59"/>
      <c r="E150" s="68"/>
      <c r="F150" s="95"/>
      <c r="G150" s="21"/>
    </row>
    <row r="151" spans="2:7" s="32" customFormat="1" ht="15" customHeight="1" x14ac:dyDescent="0.25">
      <c r="B151" s="39"/>
      <c r="D151" s="59"/>
      <c r="E151" s="68"/>
      <c r="F151" s="95"/>
      <c r="G151" s="21"/>
    </row>
    <row r="152" spans="2:7" s="32" customFormat="1" ht="15" customHeight="1" x14ac:dyDescent="0.25">
      <c r="B152" s="39"/>
      <c r="D152" s="59"/>
      <c r="E152" s="68"/>
      <c r="F152" s="95"/>
      <c r="G152" s="21"/>
    </row>
    <row r="153" spans="2:7" s="32" customFormat="1" ht="15" customHeight="1" x14ac:dyDescent="0.25">
      <c r="B153" s="39"/>
      <c r="D153" s="59"/>
      <c r="E153" s="68"/>
      <c r="F153" s="95"/>
      <c r="G153" s="21"/>
    </row>
    <row r="154" spans="2:7" s="32" customFormat="1" ht="15" customHeight="1" x14ac:dyDescent="0.25">
      <c r="B154" s="39"/>
      <c r="D154" s="59"/>
      <c r="E154" s="68"/>
      <c r="F154" s="95"/>
      <c r="G154" s="21"/>
    </row>
    <row r="155" spans="2:7" s="32" customFormat="1" ht="15" customHeight="1" x14ac:dyDescent="0.25">
      <c r="B155" s="39"/>
      <c r="D155" s="59"/>
      <c r="E155" s="68"/>
      <c r="F155" s="95"/>
      <c r="G155" s="21"/>
    </row>
    <row r="156" spans="2:7" s="32" customFormat="1" ht="15" customHeight="1" x14ac:dyDescent="0.25">
      <c r="B156" s="39"/>
      <c r="D156" s="59"/>
      <c r="E156" s="68"/>
      <c r="F156" s="95"/>
      <c r="G156" s="21"/>
    </row>
    <row r="157" spans="2:7" s="32" customFormat="1" ht="15" customHeight="1" x14ac:dyDescent="0.25">
      <c r="B157" s="39"/>
      <c r="D157" s="59"/>
      <c r="E157" s="68"/>
      <c r="F157" s="95"/>
      <c r="G157" s="21"/>
    </row>
    <row r="158" spans="2:7" s="32" customFormat="1" ht="15" customHeight="1" x14ac:dyDescent="0.25">
      <c r="B158" s="39"/>
      <c r="D158" s="59"/>
      <c r="E158" s="68"/>
      <c r="F158" s="95"/>
      <c r="G158" s="21"/>
    </row>
    <row r="159" spans="2:7" s="32" customFormat="1" ht="15" customHeight="1" x14ac:dyDescent="0.25">
      <c r="B159" s="39"/>
      <c r="D159" s="59"/>
      <c r="E159" s="68"/>
      <c r="F159" s="95"/>
      <c r="G159" s="21"/>
    </row>
    <row r="160" spans="2:7" s="32" customFormat="1" ht="15" customHeight="1" x14ac:dyDescent="0.25">
      <c r="B160" s="39"/>
      <c r="D160" s="59"/>
      <c r="E160" s="68"/>
      <c r="F160" s="95"/>
      <c r="G160" s="21"/>
    </row>
    <row r="161" spans="2:7" s="32" customFormat="1" ht="15" customHeight="1" x14ac:dyDescent="0.25">
      <c r="B161" s="39"/>
      <c r="D161" s="59"/>
      <c r="E161" s="68"/>
      <c r="F161" s="95"/>
      <c r="G161" s="21"/>
    </row>
    <row r="162" spans="2:7" s="32" customFormat="1" ht="15" customHeight="1" x14ac:dyDescent="0.25">
      <c r="B162" s="39"/>
      <c r="D162" s="59"/>
      <c r="E162" s="68"/>
      <c r="F162" s="95"/>
      <c r="G162" s="21"/>
    </row>
    <row r="163" spans="2:7" s="32" customFormat="1" ht="15" customHeight="1" x14ac:dyDescent="0.25">
      <c r="B163" s="39"/>
      <c r="D163" s="59"/>
      <c r="E163" s="68"/>
      <c r="F163" s="95"/>
      <c r="G163" s="21"/>
    </row>
    <row r="164" spans="2:7" s="32" customFormat="1" ht="15" customHeight="1" x14ac:dyDescent="0.25">
      <c r="B164" s="39"/>
      <c r="D164" s="59"/>
      <c r="E164" s="68"/>
      <c r="F164" s="95"/>
      <c r="G164" s="21"/>
    </row>
    <row r="165" spans="2:7" s="32" customFormat="1" ht="15" customHeight="1" x14ac:dyDescent="0.25">
      <c r="B165" s="39"/>
      <c r="D165" s="59"/>
      <c r="E165" s="68"/>
      <c r="F165" s="95"/>
      <c r="G165" s="21"/>
    </row>
    <row r="166" spans="2:7" s="32" customFormat="1" ht="15" customHeight="1" x14ac:dyDescent="0.25">
      <c r="B166" s="39"/>
      <c r="D166" s="59"/>
      <c r="E166" s="68"/>
      <c r="F166" s="95"/>
      <c r="G166" s="21"/>
    </row>
    <row r="167" spans="2:7" s="32" customFormat="1" ht="15" customHeight="1" x14ac:dyDescent="0.25">
      <c r="B167" s="39"/>
      <c r="D167" s="59"/>
      <c r="E167" s="68"/>
      <c r="F167" s="95"/>
      <c r="G167" s="21"/>
    </row>
    <row r="168" spans="2:7" s="32" customFormat="1" ht="15" customHeight="1" x14ac:dyDescent="0.25">
      <c r="B168" s="39"/>
      <c r="D168" s="59"/>
      <c r="E168" s="68"/>
      <c r="F168" s="95"/>
      <c r="G168" s="21"/>
    </row>
    <row r="169" spans="2:7" s="32" customFormat="1" ht="15" customHeight="1" x14ac:dyDescent="0.25">
      <c r="B169" s="39"/>
      <c r="D169" s="59"/>
      <c r="E169" s="68"/>
      <c r="F169" s="95"/>
      <c r="G169" s="21"/>
    </row>
    <row r="170" spans="2:7" s="32" customFormat="1" ht="15" customHeight="1" x14ac:dyDescent="0.25">
      <c r="B170" s="39"/>
      <c r="D170" s="59"/>
      <c r="E170" s="68"/>
      <c r="F170" s="95"/>
      <c r="G170" s="21"/>
    </row>
    <row r="171" spans="2:7" s="32" customFormat="1" ht="15" customHeight="1" x14ac:dyDescent="0.25">
      <c r="B171" s="39"/>
      <c r="D171" s="59"/>
      <c r="E171" s="68"/>
      <c r="F171" s="95"/>
      <c r="G171" s="21"/>
    </row>
    <row r="172" spans="2:7" s="32" customFormat="1" ht="15" customHeight="1" x14ac:dyDescent="0.25">
      <c r="B172" s="39"/>
      <c r="D172" s="59"/>
      <c r="E172" s="68"/>
      <c r="F172" s="95"/>
      <c r="G172" s="21"/>
    </row>
    <row r="173" spans="2:7" s="32" customFormat="1" ht="15" customHeight="1" x14ac:dyDescent="0.25">
      <c r="B173" s="39"/>
      <c r="D173" s="59"/>
      <c r="E173" s="68"/>
      <c r="F173" s="95"/>
      <c r="G173" s="21"/>
    </row>
    <row r="174" spans="2:7" s="32" customFormat="1" ht="15" customHeight="1" x14ac:dyDescent="0.25">
      <c r="B174" s="39"/>
      <c r="D174" s="59"/>
      <c r="E174" s="68"/>
      <c r="F174" s="95"/>
      <c r="G174" s="21"/>
    </row>
    <row r="175" spans="2:7" s="32" customFormat="1" ht="15" customHeight="1" x14ac:dyDescent="0.25">
      <c r="B175" s="39"/>
      <c r="D175" s="59"/>
      <c r="E175" s="68"/>
      <c r="F175" s="95"/>
      <c r="G175" s="21"/>
    </row>
    <row r="176" spans="2:7" s="32" customFormat="1" ht="15" customHeight="1" x14ac:dyDescent="0.25">
      <c r="B176" s="39"/>
      <c r="D176" s="59"/>
      <c r="E176" s="68"/>
      <c r="F176" s="95"/>
      <c r="G176" s="21"/>
    </row>
    <row r="177" spans="2:7" s="32" customFormat="1" ht="15" customHeight="1" x14ac:dyDescent="0.25">
      <c r="B177" s="39"/>
      <c r="D177" s="59"/>
      <c r="E177" s="68"/>
      <c r="F177" s="95"/>
      <c r="G177" s="21"/>
    </row>
    <row r="178" spans="2:7" s="32" customFormat="1" ht="15" customHeight="1" x14ac:dyDescent="0.25">
      <c r="B178" s="39"/>
      <c r="D178" s="59"/>
      <c r="E178" s="68"/>
      <c r="F178" s="95"/>
      <c r="G178" s="21"/>
    </row>
    <row r="179" spans="2:7" s="32" customFormat="1" ht="15" customHeight="1" x14ac:dyDescent="0.25">
      <c r="B179" s="39"/>
      <c r="D179" s="59"/>
      <c r="E179" s="68"/>
      <c r="F179" s="95"/>
      <c r="G179" s="21"/>
    </row>
    <row r="180" spans="2:7" s="32" customFormat="1" ht="15" customHeight="1" x14ac:dyDescent="0.25">
      <c r="B180" s="39"/>
      <c r="D180" s="59"/>
      <c r="E180" s="68"/>
      <c r="F180" s="95"/>
      <c r="G180" s="21"/>
    </row>
    <row r="181" spans="2:7" s="32" customFormat="1" ht="15" customHeight="1" x14ac:dyDescent="0.25">
      <c r="B181" s="39"/>
      <c r="D181" s="59"/>
      <c r="E181" s="68"/>
      <c r="F181" s="95"/>
      <c r="G181" s="21"/>
    </row>
    <row r="182" spans="2:7" s="32" customFormat="1" ht="15" customHeight="1" x14ac:dyDescent="0.25">
      <c r="B182" s="39"/>
      <c r="D182" s="59"/>
      <c r="E182" s="68"/>
      <c r="F182" s="95"/>
      <c r="G182" s="21"/>
    </row>
    <row r="183" spans="2:7" s="32" customFormat="1" ht="15" customHeight="1" x14ac:dyDescent="0.25">
      <c r="B183" s="39"/>
      <c r="D183" s="59"/>
      <c r="E183" s="68"/>
      <c r="F183" s="95"/>
      <c r="G183" s="21"/>
    </row>
    <row r="184" spans="2:7" s="32" customFormat="1" ht="15" customHeight="1" x14ac:dyDescent="0.25">
      <c r="B184" s="39"/>
      <c r="D184" s="59"/>
      <c r="E184" s="68"/>
      <c r="F184" s="95"/>
      <c r="G184" s="21"/>
    </row>
    <row r="185" spans="2:7" s="32" customFormat="1" ht="15" customHeight="1" x14ac:dyDescent="0.25">
      <c r="B185" s="39"/>
      <c r="D185" s="59"/>
      <c r="E185" s="68"/>
      <c r="F185" s="95"/>
      <c r="G185" s="21"/>
    </row>
    <row r="186" spans="2:7" s="32" customFormat="1" ht="15" customHeight="1" x14ac:dyDescent="0.25">
      <c r="B186" s="39"/>
      <c r="D186" s="59"/>
      <c r="E186" s="68"/>
      <c r="F186" s="95"/>
      <c r="G186" s="21"/>
    </row>
    <row r="187" spans="2:7" s="32" customFormat="1" ht="15" customHeight="1" x14ac:dyDescent="0.25">
      <c r="B187" s="39"/>
      <c r="D187" s="59"/>
      <c r="E187" s="68"/>
      <c r="F187" s="95"/>
      <c r="G187" s="21"/>
    </row>
    <row r="188" spans="2:7" s="32" customFormat="1" ht="15" customHeight="1" x14ac:dyDescent="0.25">
      <c r="B188" s="39"/>
      <c r="D188" s="59"/>
      <c r="E188" s="68"/>
      <c r="F188" s="95"/>
      <c r="G188" s="21"/>
    </row>
    <row r="189" spans="2:7" s="32" customFormat="1" ht="15" customHeight="1" x14ac:dyDescent="0.25">
      <c r="B189" s="39"/>
      <c r="D189" s="59"/>
      <c r="E189" s="68"/>
      <c r="F189" s="95"/>
      <c r="G189" s="21"/>
    </row>
    <row r="190" spans="2:7" s="32" customFormat="1" ht="15" customHeight="1" x14ac:dyDescent="0.25">
      <c r="B190" s="39"/>
      <c r="D190" s="59"/>
      <c r="E190" s="68"/>
      <c r="F190" s="95"/>
      <c r="G190" s="21"/>
    </row>
    <row r="191" spans="2:7" s="32" customFormat="1" ht="15" customHeight="1" x14ac:dyDescent="0.25">
      <c r="B191" s="39"/>
      <c r="D191" s="59"/>
      <c r="E191" s="68"/>
      <c r="F191" s="95"/>
      <c r="G191" s="21"/>
    </row>
    <row r="192" spans="2:7" s="32" customFormat="1" ht="15" customHeight="1" x14ac:dyDescent="0.25">
      <c r="B192" s="39"/>
      <c r="D192" s="59"/>
      <c r="E192" s="68"/>
      <c r="F192" s="95"/>
      <c r="G192" s="21"/>
    </row>
    <row r="193" spans="2:7" s="32" customFormat="1" ht="15" customHeight="1" x14ac:dyDescent="0.25">
      <c r="B193" s="39"/>
      <c r="D193" s="59"/>
      <c r="E193" s="68"/>
      <c r="F193" s="95"/>
      <c r="G193" s="21"/>
    </row>
    <row r="194" spans="2:7" s="32" customFormat="1" ht="15" customHeight="1" x14ac:dyDescent="0.25">
      <c r="B194" s="39"/>
      <c r="D194" s="59"/>
      <c r="E194" s="68"/>
      <c r="F194" s="95"/>
      <c r="G194" s="21"/>
    </row>
    <row r="195" spans="2:7" s="32" customFormat="1" ht="15" customHeight="1" x14ac:dyDescent="0.25">
      <c r="B195" s="39"/>
      <c r="D195" s="59"/>
      <c r="E195" s="68"/>
      <c r="F195" s="95"/>
      <c r="G195" s="21"/>
    </row>
    <row r="196" spans="2:7" s="32" customFormat="1" ht="15" customHeight="1" x14ac:dyDescent="0.25">
      <c r="B196" s="39"/>
      <c r="D196" s="59"/>
      <c r="E196" s="68"/>
      <c r="F196" s="95"/>
      <c r="G196" s="21"/>
    </row>
    <row r="197" spans="2:7" s="32" customFormat="1" ht="15" customHeight="1" x14ac:dyDescent="0.25">
      <c r="B197" s="39"/>
      <c r="D197" s="59"/>
      <c r="E197" s="68"/>
      <c r="F197" s="95"/>
      <c r="G197" s="21"/>
    </row>
    <row r="198" spans="2:7" s="32" customFormat="1" ht="15" customHeight="1" x14ac:dyDescent="0.25">
      <c r="B198" s="39"/>
      <c r="D198" s="59"/>
      <c r="E198" s="68"/>
      <c r="F198" s="95"/>
      <c r="G198" s="21"/>
    </row>
    <row r="199" spans="2:7" s="32" customFormat="1" ht="15" customHeight="1" x14ac:dyDescent="0.25">
      <c r="B199" s="39"/>
      <c r="D199" s="59"/>
      <c r="E199" s="68"/>
      <c r="F199" s="95"/>
      <c r="G199" s="21"/>
    </row>
    <row r="200" spans="2:7" s="32" customFormat="1" ht="15" customHeight="1" x14ac:dyDescent="0.25">
      <c r="B200" s="39"/>
      <c r="D200" s="59"/>
      <c r="E200" s="68"/>
      <c r="F200" s="95"/>
      <c r="G200" s="21"/>
    </row>
    <row r="201" spans="2:7" s="32" customFormat="1" ht="15" customHeight="1" x14ac:dyDescent="0.25">
      <c r="B201" s="39"/>
      <c r="D201" s="59"/>
      <c r="E201" s="68"/>
      <c r="F201" s="95"/>
      <c r="G201" s="21"/>
    </row>
    <row r="202" spans="2:7" s="32" customFormat="1" ht="15" customHeight="1" x14ac:dyDescent="0.25">
      <c r="B202" s="39"/>
      <c r="D202" s="59"/>
      <c r="E202" s="68"/>
      <c r="F202" s="95"/>
      <c r="G202" s="21"/>
    </row>
    <row r="203" spans="2:7" s="32" customFormat="1" ht="15" customHeight="1" x14ac:dyDescent="0.25">
      <c r="B203" s="39"/>
      <c r="D203" s="59"/>
      <c r="E203" s="68"/>
      <c r="F203" s="95"/>
      <c r="G203" s="21"/>
    </row>
    <row r="204" spans="2:7" s="32" customFormat="1" ht="15" customHeight="1" x14ac:dyDescent="0.25">
      <c r="B204" s="39"/>
      <c r="D204" s="59"/>
      <c r="E204" s="68"/>
      <c r="F204" s="95"/>
      <c r="G204" s="21"/>
    </row>
    <row r="205" spans="2:7" s="32" customFormat="1" ht="15" customHeight="1" x14ac:dyDescent="0.25">
      <c r="B205" s="39"/>
      <c r="D205" s="59"/>
      <c r="E205" s="68"/>
      <c r="F205" s="95"/>
      <c r="G205" s="21"/>
    </row>
    <row r="206" spans="2:7" s="32" customFormat="1" ht="15" customHeight="1" x14ac:dyDescent="0.25">
      <c r="B206" s="39"/>
      <c r="D206" s="59"/>
      <c r="E206" s="68"/>
      <c r="F206" s="95"/>
      <c r="G206" s="21"/>
    </row>
    <row r="207" spans="2:7" s="32" customFormat="1" ht="15" customHeight="1" x14ac:dyDescent="0.25">
      <c r="B207" s="39"/>
      <c r="D207" s="59"/>
      <c r="E207" s="68"/>
      <c r="F207" s="95"/>
      <c r="G207" s="21"/>
    </row>
    <row r="208" spans="2:7" s="32" customFormat="1" ht="15" customHeight="1" x14ac:dyDescent="0.25">
      <c r="B208" s="39"/>
      <c r="D208" s="59"/>
      <c r="E208" s="68"/>
      <c r="F208" s="95"/>
      <c r="G208" s="21"/>
    </row>
    <row r="209" spans="2:7" s="32" customFormat="1" ht="15" customHeight="1" x14ac:dyDescent="0.25">
      <c r="B209" s="39"/>
      <c r="D209" s="59"/>
      <c r="E209" s="68"/>
      <c r="F209" s="95"/>
      <c r="G209" s="21"/>
    </row>
    <row r="210" spans="2:7" s="32" customFormat="1" ht="15" customHeight="1" x14ac:dyDescent="0.25">
      <c r="B210" s="39"/>
      <c r="D210" s="59"/>
      <c r="E210" s="68"/>
      <c r="F210" s="95"/>
      <c r="G210" s="21"/>
    </row>
    <row r="211" spans="2:7" s="32" customFormat="1" ht="15" customHeight="1" x14ac:dyDescent="0.25">
      <c r="B211" s="39"/>
      <c r="D211" s="59"/>
      <c r="E211" s="68"/>
      <c r="F211" s="95"/>
      <c r="G211" s="21"/>
    </row>
    <row r="212" spans="2:7" s="32" customFormat="1" ht="15" customHeight="1" x14ac:dyDescent="0.25">
      <c r="B212" s="39"/>
      <c r="D212" s="59"/>
      <c r="E212" s="68"/>
      <c r="F212" s="95"/>
      <c r="G212" s="21"/>
    </row>
    <row r="213" spans="2:7" s="32" customFormat="1" ht="15" customHeight="1" x14ac:dyDescent="0.25">
      <c r="B213" s="39"/>
      <c r="D213" s="59"/>
      <c r="E213" s="68"/>
      <c r="F213" s="95"/>
      <c r="G213" s="21"/>
    </row>
    <row r="214" spans="2:7" s="32" customFormat="1" ht="15" customHeight="1" x14ac:dyDescent="0.25">
      <c r="B214" s="39"/>
      <c r="D214" s="59"/>
      <c r="E214" s="68"/>
      <c r="F214" s="95"/>
      <c r="G214" s="21"/>
    </row>
    <row r="215" spans="2:7" s="32" customFormat="1" ht="15" customHeight="1" x14ac:dyDescent="0.25">
      <c r="B215" s="39"/>
      <c r="D215" s="59"/>
      <c r="E215" s="68"/>
      <c r="F215" s="95"/>
      <c r="G215" s="21"/>
    </row>
    <row r="216" spans="2:7" s="32" customFormat="1" ht="15" customHeight="1" x14ac:dyDescent="0.25">
      <c r="B216" s="39"/>
      <c r="D216" s="59"/>
      <c r="E216" s="68"/>
      <c r="F216" s="95"/>
      <c r="G216" s="21"/>
    </row>
    <row r="217" spans="2:7" s="32" customFormat="1" ht="15" customHeight="1" x14ac:dyDescent="0.25">
      <c r="B217" s="39"/>
      <c r="D217" s="59"/>
      <c r="E217" s="68"/>
      <c r="F217" s="95"/>
      <c r="G217" s="21"/>
    </row>
    <row r="218" spans="2:7" s="32" customFormat="1" ht="15" customHeight="1" x14ac:dyDescent="0.25">
      <c r="B218" s="39"/>
      <c r="D218" s="59"/>
      <c r="E218" s="68"/>
      <c r="F218" s="95"/>
      <c r="G218" s="21"/>
    </row>
    <row r="219" spans="2:7" s="32" customFormat="1" ht="15" customHeight="1" x14ac:dyDescent="0.25">
      <c r="B219" s="39"/>
      <c r="D219" s="59"/>
      <c r="E219" s="68"/>
      <c r="F219" s="95"/>
      <c r="G219" s="21"/>
    </row>
    <row r="220" spans="2:7" s="32" customFormat="1" ht="15" customHeight="1" x14ac:dyDescent="0.25">
      <c r="B220" s="39"/>
      <c r="D220" s="59"/>
      <c r="E220" s="68"/>
      <c r="F220" s="95"/>
      <c r="G220" s="21"/>
    </row>
    <row r="221" spans="2:7" s="32" customFormat="1" ht="15" customHeight="1" x14ac:dyDescent="0.25">
      <c r="B221" s="39"/>
      <c r="D221" s="59"/>
      <c r="E221" s="68"/>
      <c r="F221" s="95"/>
      <c r="G221" s="21"/>
    </row>
    <row r="222" spans="2:7" s="32" customFormat="1" ht="15" customHeight="1" x14ac:dyDescent="0.25">
      <c r="B222" s="39"/>
      <c r="D222" s="59"/>
      <c r="E222" s="68"/>
      <c r="F222" s="95"/>
      <c r="G222" s="21"/>
    </row>
    <row r="223" spans="2:7" s="32" customFormat="1" ht="15" customHeight="1" x14ac:dyDescent="0.25">
      <c r="B223" s="39"/>
      <c r="D223" s="59"/>
      <c r="E223" s="68"/>
      <c r="F223" s="95"/>
      <c r="G223" s="21"/>
    </row>
    <row r="224" spans="2:7" s="32" customFormat="1" ht="15" customHeight="1" x14ac:dyDescent="0.25">
      <c r="B224" s="39"/>
      <c r="D224" s="59"/>
      <c r="E224" s="68"/>
      <c r="F224" s="95"/>
      <c r="G224" s="21"/>
    </row>
    <row r="225" spans="2:7" s="32" customFormat="1" ht="15" customHeight="1" x14ac:dyDescent="0.25">
      <c r="B225" s="39"/>
      <c r="D225" s="59"/>
      <c r="E225" s="68"/>
      <c r="F225" s="95"/>
      <c r="G225" s="21"/>
    </row>
    <row r="226" spans="2:7" s="32" customFormat="1" ht="15" customHeight="1" x14ac:dyDescent="0.25">
      <c r="B226" s="39"/>
      <c r="D226" s="59"/>
      <c r="E226" s="68"/>
      <c r="F226" s="95"/>
      <c r="G226" s="21"/>
    </row>
    <row r="227" spans="2:7" s="32" customFormat="1" ht="15" customHeight="1" x14ac:dyDescent="0.25">
      <c r="B227" s="39"/>
      <c r="D227" s="59"/>
      <c r="E227" s="68"/>
      <c r="F227" s="95"/>
      <c r="G227" s="21"/>
    </row>
    <row r="228" spans="2:7" s="32" customFormat="1" ht="15" customHeight="1" x14ac:dyDescent="0.25">
      <c r="B228" s="39"/>
      <c r="D228" s="59"/>
      <c r="E228" s="68"/>
      <c r="F228" s="95"/>
      <c r="G228" s="21"/>
    </row>
    <row r="229" spans="2:7" s="32" customFormat="1" ht="15" customHeight="1" x14ac:dyDescent="0.25">
      <c r="B229" s="39"/>
      <c r="D229" s="59"/>
      <c r="E229" s="68"/>
      <c r="F229" s="95"/>
      <c r="G229" s="21"/>
    </row>
    <row r="230" spans="2:7" s="32" customFormat="1" ht="15" customHeight="1" x14ac:dyDescent="0.25">
      <c r="B230" s="39"/>
      <c r="D230" s="59"/>
      <c r="E230" s="68"/>
      <c r="F230" s="95"/>
      <c r="G230" s="21"/>
    </row>
    <row r="231" spans="2:7" s="32" customFormat="1" ht="15" customHeight="1" x14ac:dyDescent="0.25">
      <c r="B231" s="39"/>
      <c r="D231" s="59"/>
      <c r="E231" s="68"/>
      <c r="F231" s="95"/>
      <c r="G231" s="21"/>
    </row>
    <row r="232" spans="2:7" s="32" customFormat="1" ht="15" customHeight="1" x14ac:dyDescent="0.25">
      <c r="B232" s="39"/>
      <c r="D232" s="59"/>
      <c r="E232" s="68"/>
      <c r="F232" s="95"/>
      <c r="G232" s="21"/>
    </row>
    <row r="233" spans="2:7" s="32" customFormat="1" ht="15" customHeight="1" x14ac:dyDescent="0.25">
      <c r="B233" s="39"/>
      <c r="D233" s="59"/>
      <c r="E233" s="68"/>
      <c r="F233" s="95"/>
      <c r="G233" s="21"/>
    </row>
    <row r="234" spans="2:7" s="32" customFormat="1" ht="15" customHeight="1" x14ac:dyDescent="0.25">
      <c r="B234" s="39"/>
      <c r="D234" s="59"/>
      <c r="E234" s="68"/>
      <c r="F234" s="95"/>
      <c r="G234" s="21"/>
    </row>
    <row r="235" spans="2:7" s="32" customFormat="1" ht="15" customHeight="1" x14ac:dyDescent="0.25">
      <c r="B235" s="39"/>
      <c r="D235" s="59"/>
      <c r="E235" s="68"/>
      <c r="F235" s="95"/>
      <c r="G235" s="21"/>
    </row>
    <row r="236" spans="2:7" s="32" customFormat="1" ht="15" customHeight="1" x14ac:dyDescent="0.25">
      <c r="B236" s="39"/>
      <c r="D236" s="59"/>
      <c r="E236" s="68"/>
      <c r="F236" s="95"/>
      <c r="G236" s="21"/>
    </row>
    <row r="237" spans="2:7" s="32" customFormat="1" ht="15" customHeight="1" x14ac:dyDescent="0.25">
      <c r="B237" s="39"/>
      <c r="D237" s="59"/>
      <c r="E237" s="68"/>
      <c r="F237" s="95"/>
      <c r="G237" s="21"/>
    </row>
    <row r="238" spans="2:7" s="32" customFormat="1" ht="15" customHeight="1" x14ac:dyDescent="0.25">
      <c r="B238" s="39"/>
      <c r="D238" s="59"/>
      <c r="E238" s="68"/>
      <c r="F238" s="95"/>
      <c r="G238" s="21"/>
    </row>
    <row r="239" spans="2:7" s="32" customFormat="1" ht="15" customHeight="1" x14ac:dyDescent="0.25">
      <c r="B239" s="39"/>
      <c r="D239" s="59"/>
      <c r="E239" s="68"/>
      <c r="F239" s="95"/>
      <c r="G239" s="21"/>
    </row>
    <row r="240" spans="2:7" s="32" customFormat="1" ht="15" customHeight="1" x14ac:dyDescent="0.25">
      <c r="B240" s="39"/>
      <c r="D240" s="59"/>
      <c r="E240" s="68"/>
      <c r="F240" s="95"/>
      <c r="G240" s="21"/>
    </row>
    <row r="241" spans="2:7" s="32" customFormat="1" ht="15" customHeight="1" x14ac:dyDescent="0.25">
      <c r="B241" s="39"/>
      <c r="D241" s="59"/>
      <c r="E241" s="68"/>
      <c r="F241" s="95"/>
      <c r="G241" s="21"/>
    </row>
    <row r="242" spans="2:7" s="32" customFormat="1" ht="15" customHeight="1" x14ac:dyDescent="0.25">
      <c r="B242" s="39"/>
      <c r="D242" s="59"/>
      <c r="E242" s="68"/>
      <c r="F242" s="95"/>
      <c r="G242" s="21"/>
    </row>
    <row r="243" spans="2:7" s="32" customFormat="1" ht="15" customHeight="1" x14ac:dyDescent="0.25">
      <c r="B243" s="39"/>
      <c r="D243" s="59"/>
      <c r="E243" s="68"/>
      <c r="F243" s="95"/>
      <c r="G243" s="21"/>
    </row>
    <row r="244" spans="2:7" s="32" customFormat="1" ht="15" customHeight="1" x14ac:dyDescent="0.25">
      <c r="B244" s="39"/>
      <c r="D244" s="59"/>
      <c r="E244" s="68"/>
      <c r="F244" s="95"/>
      <c r="G244" s="21"/>
    </row>
    <row r="245" spans="2:7" s="32" customFormat="1" ht="15" customHeight="1" x14ac:dyDescent="0.25">
      <c r="B245" s="39"/>
      <c r="D245" s="59"/>
      <c r="E245" s="68"/>
      <c r="F245" s="95"/>
      <c r="G245" s="21"/>
    </row>
    <row r="246" spans="2:7" s="32" customFormat="1" ht="15" customHeight="1" x14ac:dyDescent="0.25">
      <c r="B246" s="39"/>
      <c r="D246" s="59"/>
      <c r="E246" s="68"/>
      <c r="F246" s="95"/>
      <c r="G246" s="21"/>
    </row>
    <row r="247" spans="2:7" s="32" customFormat="1" ht="15" customHeight="1" x14ac:dyDescent="0.25">
      <c r="B247" s="39"/>
      <c r="D247" s="59"/>
      <c r="E247" s="68"/>
      <c r="F247" s="95"/>
      <c r="G247" s="21"/>
    </row>
    <row r="248" spans="2:7" s="32" customFormat="1" ht="15" customHeight="1" x14ac:dyDescent="0.25">
      <c r="B248" s="39"/>
      <c r="D248" s="59"/>
      <c r="E248" s="68"/>
      <c r="F248" s="95"/>
      <c r="G248" s="21"/>
    </row>
    <row r="249" spans="2:7" s="32" customFormat="1" ht="15" customHeight="1" x14ac:dyDescent="0.25">
      <c r="B249" s="39"/>
      <c r="D249" s="59"/>
      <c r="E249" s="68"/>
      <c r="F249" s="95"/>
      <c r="G249" s="21"/>
    </row>
    <row r="250" spans="2:7" s="32" customFormat="1" ht="15" customHeight="1" x14ac:dyDescent="0.25">
      <c r="B250" s="39"/>
      <c r="D250" s="59"/>
      <c r="E250" s="68"/>
      <c r="F250" s="95"/>
      <c r="G250" s="21"/>
    </row>
    <row r="251" spans="2:7" s="32" customFormat="1" x14ac:dyDescent="0.25">
      <c r="B251" s="39"/>
      <c r="D251" s="59"/>
      <c r="E251" s="68"/>
      <c r="F251" s="95"/>
      <c r="G251" s="21"/>
    </row>
    <row r="252" spans="2:7" s="32" customFormat="1" x14ac:dyDescent="0.25">
      <c r="B252" s="39"/>
      <c r="D252" s="59"/>
      <c r="E252" s="68"/>
      <c r="F252" s="95"/>
      <c r="G252" s="21"/>
    </row>
    <row r="253" spans="2:7" s="32" customFormat="1" x14ac:dyDescent="0.25">
      <c r="B253" s="39"/>
      <c r="D253" s="59"/>
      <c r="E253" s="68"/>
      <c r="F253" s="95"/>
      <c r="G253" s="21"/>
    </row>
    <row r="254" spans="2:7" s="32" customFormat="1" x14ac:dyDescent="0.25">
      <c r="B254" s="39"/>
      <c r="D254" s="59"/>
      <c r="E254" s="68"/>
      <c r="F254" s="95"/>
      <c r="G254" s="21"/>
    </row>
    <row r="255" spans="2:7" s="32" customFormat="1" x14ac:dyDescent="0.25">
      <c r="B255" s="39"/>
      <c r="D255" s="59"/>
      <c r="E255" s="68"/>
      <c r="F255" s="95"/>
      <c r="G255" s="21"/>
    </row>
    <row r="256" spans="2:7" s="32" customFormat="1" x14ac:dyDescent="0.25">
      <c r="B256" s="39"/>
      <c r="D256" s="59"/>
      <c r="E256" s="68"/>
      <c r="F256" s="95"/>
      <c r="G256" s="21"/>
    </row>
    <row r="257" spans="2:7" s="32" customFormat="1" x14ac:dyDescent="0.25">
      <c r="B257" s="39"/>
      <c r="D257" s="59"/>
      <c r="E257" s="68"/>
      <c r="F257" s="95"/>
      <c r="G257" s="21"/>
    </row>
    <row r="258" spans="2:7" s="32" customFormat="1" x14ac:dyDescent="0.25">
      <c r="B258" s="39"/>
      <c r="D258" s="59"/>
      <c r="E258" s="68"/>
      <c r="F258" s="95"/>
      <c r="G258" s="21"/>
    </row>
    <row r="259" spans="2:7" s="32" customFormat="1" x14ac:dyDescent="0.25">
      <c r="B259" s="39"/>
      <c r="D259" s="59"/>
      <c r="E259" s="68"/>
      <c r="F259" s="95"/>
      <c r="G259" s="21"/>
    </row>
    <row r="260" spans="2:7" s="32" customFormat="1" x14ac:dyDescent="0.25">
      <c r="B260" s="39"/>
      <c r="D260" s="59"/>
      <c r="E260" s="68"/>
      <c r="F260" s="95"/>
      <c r="G260" s="21"/>
    </row>
    <row r="261" spans="2:7" s="32" customFormat="1" x14ac:dyDescent="0.25">
      <c r="B261" s="39"/>
      <c r="D261" s="59"/>
      <c r="E261" s="68"/>
      <c r="F261" s="95"/>
      <c r="G261" s="21"/>
    </row>
    <row r="262" spans="2:7" s="32" customFormat="1" x14ac:dyDescent="0.25">
      <c r="B262" s="39"/>
      <c r="D262" s="59"/>
      <c r="E262" s="68"/>
      <c r="F262" s="95"/>
      <c r="G262" s="21"/>
    </row>
    <row r="263" spans="2:7" s="32" customFormat="1" x14ac:dyDescent="0.25">
      <c r="B263" s="39"/>
      <c r="D263" s="59"/>
      <c r="E263" s="68"/>
      <c r="F263" s="95"/>
      <c r="G263" s="21"/>
    </row>
    <row r="264" spans="2:7" s="32" customFormat="1" x14ac:dyDescent="0.25">
      <c r="B264" s="39"/>
      <c r="D264" s="59"/>
      <c r="E264" s="68"/>
      <c r="F264" s="95"/>
      <c r="G264" s="21"/>
    </row>
    <row r="265" spans="2:7" s="32" customFormat="1" x14ac:dyDescent="0.25">
      <c r="B265" s="39"/>
      <c r="D265" s="59"/>
      <c r="E265" s="68"/>
      <c r="F265" s="95"/>
      <c r="G265" s="21"/>
    </row>
    <row r="266" spans="2:7" s="32" customFormat="1" x14ac:dyDescent="0.25">
      <c r="B266" s="39"/>
      <c r="D266" s="59"/>
      <c r="E266" s="68"/>
      <c r="F266" s="95"/>
      <c r="G266" s="21"/>
    </row>
    <row r="267" spans="2:7" s="32" customFormat="1" x14ac:dyDescent="0.25">
      <c r="B267" s="39"/>
      <c r="D267" s="59"/>
      <c r="E267" s="68"/>
      <c r="F267" s="95"/>
      <c r="G267" s="21"/>
    </row>
    <row r="268" spans="2:7" s="32" customFormat="1" x14ac:dyDescent="0.25">
      <c r="B268" s="39"/>
      <c r="D268" s="59"/>
      <c r="E268" s="68"/>
      <c r="F268" s="95"/>
      <c r="G268" s="21"/>
    </row>
    <row r="269" spans="2:7" s="32" customFormat="1" x14ac:dyDescent="0.25">
      <c r="B269" s="39"/>
      <c r="D269" s="59"/>
      <c r="E269" s="68"/>
      <c r="F269" s="95"/>
      <c r="G269" s="21"/>
    </row>
    <row r="270" spans="2:7" s="32" customFormat="1" x14ac:dyDescent="0.25">
      <c r="B270" s="39"/>
      <c r="D270" s="59"/>
      <c r="E270" s="68"/>
      <c r="F270" s="95"/>
      <c r="G270" s="21"/>
    </row>
    <row r="271" spans="2:7" s="32" customFormat="1" x14ac:dyDescent="0.25">
      <c r="B271" s="39"/>
      <c r="D271" s="59"/>
      <c r="E271" s="68"/>
      <c r="F271" s="95"/>
      <c r="G271" s="21"/>
    </row>
    <row r="272" spans="2:7" s="32" customFormat="1" x14ac:dyDescent="0.25">
      <c r="B272" s="39"/>
      <c r="D272" s="59"/>
      <c r="E272" s="68"/>
      <c r="F272" s="95"/>
      <c r="G272" s="21"/>
    </row>
    <row r="273" spans="2:7" s="32" customFormat="1" x14ac:dyDescent="0.25">
      <c r="B273" s="39"/>
      <c r="D273" s="59"/>
      <c r="E273" s="68"/>
      <c r="F273" s="95"/>
      <c r="G273" s="21"/>
    </row>
    <row r="274" spans="2:7" s="32" customFormat="1" x14ac:dyDescent="0.25">
      <c r="B274" s="39"/>
      <c r="D274" s="59"/>
      <c r="E274" s="68"/>
      <c r="F274" s="95"/>
      <c r="G274" s="21"/>
    </row>
    <row r="275" spans="2:7" s="32" customFormat="1" x14ac:dyDescent="0.25">
      <c r="B275" s="39"/>
      <c r="D275" s="59"/>
      <c r="E275" s="68"/>
      <c r="F275" s="95"/>
      <c r="G275" s="21"/>
    </row>
    <row r="276" spans="2:7" s="32" customFormat="1" x14ac:dyDescent="0.25">
      <c r="B276" s="39"/>
      <c r="D276" s="59"/>
      <c r="E276" s="68"/>
      <c r="F276" s="95"/>
      <c r="G276" s="21"/>
    </row>
    <row r="277" spans="2:7" s="32" customFormat="1" x14ac:dyDescent="0.25">
      <c r="B277" s="39"/>
      <c r="D277" s="59"/>
      <c r="E277" s="68"/>
      <c r="F277" s="95"/>
      <c r="G277" s="21"/>
    </row>
    <row r="278" spans="2:7" s="32" customFormat="1" x14ac:dyDescent="0.25">
      <c r="B278" s="39"/>
      <c r="D278" s="59"/>
      <c r="E278" s="68"/>
      <c r="F278" s="95"/>
      <c r="G278" s="21"/>
    </row>
    <row r="279" spans="2:7" s="32" customFormat="1" x14ac:dyDescent="0.25">
      <c r="B279" s="39"/>
      <c r="D279" s="59"/>
      <c r="E279" s="68"/>
      <c r="F279" s="95"/>
      <c r="G279" s="21"/>
    </row>
    <row r="280" spans="2:7" s="32" customFormat="1" x14ac:dyDescent="0.25">
      <c r="B280" s="39"/>
      <c r="D280" s="59"/>
      <c r="E280" s="68"/>
      <c r="F280" s="95"/>
      <c r="G280" s="21"/>
    </row>
    <row r="281" spans="2:7" s="32" customFormat="1" x14ac:dyDescent="0.25">
      <c r="B281" s="39"/>
      <c r="D281" s="59"/>
      <c r="E281" s="68"/>
      <c r="F281" s="95"/>
      <c r="G281" s="21"/>
    </row>
    <row r="282" spans="2:7" s="32" customFormat="1" x14ac:dyDescent="0.25">
      <c r="B282" s="39"/>
      <c r="D282" s="59"/>
      <c r="E282" s="68"/>
      <c r="F282" s="95"/>
      <c r="G282" s="21"/>
    </row>
    <row r="283" spans="2:7" s="32" customFormat="1" x14ac:dyDescent="0.25">
      <c r="B283" s="39"/>
      <c r="D283" s="59"/>
      <c r="E283" s="68"/>
      <c r="F283" s="95"/>
      <c r="G283" s="21"/>
    </row>
    <row r="284" spans="2:7" s="32" customFormat="1" x14ac:dyDescent="0.25">
      <c r="B284" s="39"/>
      <c r="D284" s="59"/>
      <c r="E284" s="68"/>
      <c r="F284" s="95"/>
      <c r="G284" s="21"/>
    </row>
    <row r="285" spans="2:7" s="32" customFormat="1" x14ac:dyDescent="0.25">
      <c r="B285" s="39"/>
      <c r="D285" s="59"/>
      <c r="E285" s="68"/>
      <c r="F285" s="95"/>
      <c r="G285" s="21"/>
    </row>
    <row r="286" spans="2:7" s="32" customFormat="1" x14ac:dyDescent="0.25">
      <c r="B286" s="39"/>
      <c r="D286" s="59"/>
      <c r="E286" s="68"/>
      <c r="F286" s="95"/>
      <c r="G286" s="21"/>
    </row>
    <row r="287" spans="2:7" s="32" customFormat="1" x14ac:dyDescent="0.25">
      <c r="B287" s="39"/>
      <c r="D287" s="59"/>
      <c r="E287" s="68"/>
      <c r="F287" s="95"/>
      <c r="G287" s="21"/>
    </row>
    <row r="288" spans="2:7" s="32" customFormat="1" x14ac:dyDescent="0.25">
      <c r="B288" s="39"/>
      <c r="D288" s="59"/>
      <c r="E288" s="68"/>
      <c r="F288" s="95"/>
      <c r="G288" s="21"/>
    </row>
    <row r="289" spans="2:7" s="32" customFormat="1" x14ac:dyDescent="0.25">
      <c r="B289" s="39"/>
      <c r="D289" s="59"/>
      <c r="E289" s="68"/>
      <c r="F289" s="95"/>
      <c r="G289" s="21"/>
    </row>
    <row r="290" spans="2:7" s="32" customFormat="1" x14ac:dyDescent="0.25">
      <c r="B290" s="39"/>
      <c r="D290" s="59"/>
      <c r="E290" s="68"/>
      <c r="F290" s="95"/>
      <c r="G290" s="21"/>
    </row>
    <row r="291" spans="2:7" s="32" customFormat="1" x14ac:dyDescent="0.25">
      <c r="B291" s="39"/>
      <c r="D291" s="59"/>
      <c r="E291" s="68"/>
      <c r="F291" s="95"/>
      <c r="G291" s="21"/>
    </row>
    <row r="292" spans="2:7" s="32" customFormat="1" x14ac:dyDescent="0.25">
      <c r="B292" s="39"/>
      <c r="D292" s="59"/>
      <c r="E292" s="68"/>
      <c r="F292" s="95"/>
      <c r="G292" s="21"/>
    </row>
    <row r="293" spans="2:7" s="32" customFormat="1" x14ac:dyDescent="0.25">
      <c r="B293" s="39"/>
      <c r="D293" s="59"/>
      <c r="E293" s="68"/>
      <c r="F293" s="95"/>
      <c r="G293" s="21"/>
    </row>
    <row r="294" spans="2:7" s="32" customFormat="1" x14ac:dyDescent="0.25">
      <c r="B294" s="39"/>
      <c r="D294" s="59"/>
      <c r="E294" s="68"/>
      <c r="F294" s="95"/>
      <c r="G294" s="21"/>
    </row>
    <row r="295" spans="2:7" s="32" customFormat="1" x14ac:dyDescent="0.25">
      <c r="B295" s="39"/>
      <c r="D295" s="59"/>
      <c r="E295" s="68"/>
      <c r="F295" s="95"/>
      <c r="G295" s="21"/>
    </row>
    <row r="296" spans="2:7" s="32" customFormat="1" x14ac:dyDescent="0.25">
      <c r="B296" s="39"/>
      <c r="D296" s="59"/>
      <c r="E296" s="68"/>
      <c r="F296" s="95"/>
      <c r="G296" s="21"/>
    </row>
    <row r="297" spans="2:7" s="32" customFormat="1" x14ac:dyDescent="0.25">
      <c r="B297" s="39"/>
      <c r="D297" s="59"/>
      <c r="E297" s="68"/>
      <c r="F297" s="95"/>
      <c r="G297" s="21"/>
    </row>
    <row r="298" spans="2:7" s="32" customFormat="1" x14ac:dyDescent="0.25">
      <c r="B298" s="39"/>
      <c r="D298" s="59"/>
      <c r="E298" s="68"/>
      <c r="F298" s="95"/>
      <c r="G298" s="21"/>
    </row>
    <row r="299" spans="2:7" s="32" customFormat="1" x14ac:dyDescent="0.25">
      <c r="B299" s="39"/>
      <c r="D299" s="59"/>
      <c r="E299" s="68"/>
      <c r="F299" s="95"/>
      <c r="G299" s="21"/>
    </row>
    <row r="300" spans="2:7" s="32" customFormat="1" x14ac:dyDescent="0.25">
      <c r="B300" s="39"/>
      <c r="D300" s="59"/>
      <c r="E300" s="68"/>
      <c r="F300" s="95"/>
      <c r="G300" s="21"/>
    </row>
    <row r="301" spans="2:7" s="32" customFormat="1" x14ac:dyDescent="0.25">
      <c r="B301" s="39"/>
      <c r="D301" s="59"/>
      <c r="E301" s="68"/>
      <c r="F301" s="95"/>
      <c r="G301" s="21"/>
    </row>
    <row r="302" spans="2:7" s="32" customFormat="1" x14ac:dyDescent="0.25">
      <c r="B302" s="39"/>
      <c r="D302" s="59"/>
      <c r="E302" s="68"/>
      <c r="F302" s="95"/>
      <c r="G302" s="21"/>
    </row>
    <row r="303" spans="2:7" s="32" customFormat="1" x14ac:dyDescent="0.25">
      <c r="B303" s="39"/>
      <c r="D303" s="59"/>
      <c r="E303" s="68"/>
      <c r="F303" s="95"/>
      <c r="G303" s="21"/>
    </row>
    <row r="304" spans="2:7" s="32" customFormat="1" x14ac:dyDescent="0.25">
      <c r="B304" s="39"/>
      <c r="D304" s="59"/>
      <c r="E304" s="68"/>
      <c r="F304" s="95"/>
      <c r="G304" s="21"/>
    </row>
    <row r="305" spans="2:7" s="32" customFormat="1" x14ac:dyDescent="0.25">
      <c r="B305" s="39"/>
      <c r="D305" s="59"/>
      <c r="E305" s="68"/>
      <c r="F305" s="95"/>
      <c r="G305" s="21"/>
    </row>
    <row r="306" spans="2:7" s="32" customFormat="1" x14ac:dyDescent="0.25">
      <c r="B306" s="39"/>
      <c r="D306" s="59"/>
      <c r="E306" s="68"/>
      <c r="F306" s="95"/>
      <c r="G306" s="21"/>
    </row>
    <row r="307" spans="2:7" s="32" customFormat="1" x14ac:dyDescent="0.25">
      <c r="B307" s="39"/>
      <c r="D307" s="59"/>
      <c r="E307" s="68"/>
      <c r="F307" s="95"/>
      <c r="G307" s="21"/>
    </row>
    <row r="308" spans="2:7" s="32" customFormat="1" x14ac:dyDescent="0.25">
      <c r="B308" s="39"/>
      <c r="D308" s="59"/>
      <c r="E308" s="68"/>
      <c r="F308" s="95"/>
      <c r="G308" s="21"/>
    </row>
    <row r="309" spans="2:7" s="32" customFormat="1" x14ac:dyDescent="0.25">
      <c r="B309" s="39"/>
      <c r="D309" s="59"/>
      <c r="E309" s="68"/>
      <c r="F309" s="95"/>
      <c r="G309" s="21"/>
    </row>
    <row r="310" spans="2:7" s="32" customFormat="1" x14ac:dyDescent="0.25">
      <c r="B310" s="39"/>
      <c r="D310" s="59"/>
      <c r="E310" s="68"/>
      <c r="F310" s="95"/>
      <c r="G310" s="21"/>
    </row>
    <row r="311" spans="2:7" s="32" customFormat="1" x14ac:dyDescent="0.25">
      <c r="B311" s="39"/>
      <c r="D311" s="59"/>
      <c r="E311" s="68"/>
      <c r="F311" s="95"/>
      <c r="G311" s="21"/>
    </row>
    <row r="312" spans="2:7" s="32" customFormat="1" x14ac:dyDescent="0.25">
      <c r="B312" s="39"/>
      <c r="D312" s="59"/>
      <c r="E312" s="68"/>
      <c r="F312" s="95"/>
      <c r="G312" s="21"/>
    </row>
    <row r="313" spans="2:7" s="32" customFormat="1" x14ac:dyDescent="0.25">
      <c r="B313" s="39"/>
      <c r="D313" s="59"/>
      <c r="E313" s="68"/>
      <c r="F313" s="95"/>
      <c r="G313" s="21"/>
    </row>
    <row r="314" spans="2:7" s="32" customFormat="1" x14ac:dyDescent="0.25">
      <c r="B314" s="39"/>
      <c r="D314" s="59"/>
      <c r="E314" s="68"/>
      <c r="F314" s="95"/>
      <c r="G314" s="21"/>
    </row>
    <row r="315" spans="2:7" s="32" customFormat="1" x14ac:dyDescent="0.25">
      <c r="B315" s="39"/>
      <c r="D315" s="59"/>
      <c r="E315" s="68"/>
      <c r="F315" s="95"/>
      <c r="G315" s="21"/>
    </row>
    <row r="316" spans="2:7" s="32" customFormat="1" x14ac:dyDescent="0.25">
      <c r="B316" s="39"/>
      <c r="D316" s="59"/>
      <c r="E316" s="68"/>
      <c r="F316" s="95"/>
      <c r="G316" s="21"/>
    </row>
    <row r="317" spans="2:7" s="32" customFormat="1" x14ac:dyDescent="0.25">
      <c r="B317" s="39"/>
      <c r="D317" s="59"/>
      <c r="E317" s="68"/>
      <c r="F317" s="95"/>
      <c r="G317" s="21"/>
    </row>
    <row r="318" spans="2:7" s="32" customFormat="1" x14ac:dyDescent="0.25">
      <c r="B318" s="39"/>
      <c r="D318" s="59"/>
      <c r="E318" s="68"/>
      <c r="F318" s="95"/>
      <c r="G318" s="21"/>
    </row>
    <row r="319" spans="2:7" s="32" customFormat="1" x14ac:dyDescent="0.25">
      <c r="B319" s="39"/>
      <c r="D319" s="59"/>
      <c r="E319" s="68"/>
      <c r="F319" s="95"/>
      <c r="G319" s="21"/>
    </row>
    <row r="320" spans="2:7" s="32" customFormat="1" x14ac:dyDescent="0.25">
      <c r="B320" s="39"/>
      <c r="D320" s="59"/>
      <c r="E320" s="68"/>
      <c r="F320" s="95"/>
      <c r="G320" s="21"/>
    </row>
    <row r="321" spans="2:7" s="32" customFormat="1" x14ac:dyDescent="0.25">
      <c r="B321" s="39"/>
      <c r="D321" s="59"/>
      <c r="E321" s="68"/>
      <c r="F321" s="95"/>
      <c r="G321" s="21"/>
    </row>
    <row r="322" spans="2:7" s="32" customFormat="1" x14ac:dyDescent="0.25">
      <c r="B322" s="39"/>
      <c r="D322" s="59"/>
      <c r="E322" s="68"/>
      <c r="F322" s="95"/>
      <c r="G322" s="21"/>
    </row>
    <row r="323" spans="2:7" s="32" customFormat="1" x14ac:dyDescent="0.25">
      <c r="B323" s="39"/>
      <c r="D323" s="59"/>
      <c r="E323" s="68"/>
      <c r="F323" s="95"/>
      <c r="G323" s="21"/>
    </row>
    <row r="324" spans="2:7" s="32" customFormat="1" x14ac:dyDescent="0.25">
      <c r="B324" s="39"/>
      <c r="D324" s="59"/>
      <c r="E324" s="68"/>
      <c r="F324" s="95"/>
      <c r="G324" s="21"/>
    </row>
    <row r="325" spans="2:7" s="32" customFormat="1" x14ac:dyDescent="0.25">
      <c r="B325" s="39"/>
      <c r="D325" s="59"/>
      <c r="E325" s="68"/>
      <c r="F325" s="95"/>
      <c r="G325" s="21"/>
    </row>
    <row r="326" spans="2:7" s="32" customFormat="1" x14ac:dyDescent="0.25">
      <c r="B326" s="39"/>
      <c r="D326" s="59"/>
      <c r="E326" s="68"/>
      <c r="F326" s="95"/>
      <c r="G326" s="21"/>
    </row>
    <row r="327" spans="2:7" s="32" customFormat="1" x14ac:dyDescent="0.25">
      <c r="B327" s="39"/>
      <c r="D327" s="59"/>
      <c r="E327" s="68"/>
      <c r="F327" s="95"/>
      <c r="G327" s="21"/>
    </row>
    <row r="328" spans="2:7" s="32" customFormat="1" x14ac:dyDescent="0.25">
      <c r="B328" s="39"/>
      <c r="D328" s="59"/>
      <c r="E328" s="68"/>
      <c r="F328" s="95"/>
      <c r="G328" s="21"/>
    </row>
    <row r="329" spans="2:7" s="32" customFormat="1" x14ac:dyDescent="0.25">
      <c r="B329" s="39"/>
      <c r="D329" s="59"/>
      <c r="E329" s="68"/>
      <c r="F329" s="95"/>
      <c r="G329" s="21"/>
    </row>
    <row r="330" spans="2:7" s="32" customFormat="1" x14ac:dyDescent="0.25">
      <c r="B330" s="39"/>
      <c r="D330" s="59"/>
      <c r="E330" s="68"/>
      <c r="F330" s="95"/>
      <c r="G330" s="21"/>
    </row>
    <row r="331" spans="2:7" s="32" customFormat="1" x14ac:dyDescent="0.25">
      <c r="B331" s="39"/>
      <c r="D331" s="59"/>
      <c r="E331" s="68"/>
      <c r="F331" s="95"/>
      <c r="G331" s="21"/>
    </row>
    <row r="332" spans="2:7" s="32" customFormat="1" x14ac:dyDescent="0.25">
      <c r="B332" s="39"/>
      <c r="D332" s="59"/>
      <c r="E332" s="68"/>
      <c r="F332" s="95"/>
      <c r="G332" s="21"/>
    </row>
    <row r="333" spans="2:7" s="32" customFormat="1" x14ac:dyDescent="0.25">
      <c r="B333" s="39"/>
      <c r="D333" s="59"/>
      <c r="E333" s="68"/>
      <c r="F333" s="95"/>
      <c r="G333" s="21"/>
    </row>
    <row r="334" spans="2:7" s="32" customFormat="1" x14ac:dyDescent="0.25">
      <c r="B334" s="39"/>
      <c r="D334" s="59"/>
      <c r="E334" s="68"/>
      <c r="F334" s="95"/>
      <c r="G334" s="21"/>
    </row>
    <row r="335" spans="2:7" s="32" customFormat="1" x14ac:dyDescent="0.25">
      <c r="B335" s="39"/>
      <c r="D335" s="59"/>
      <c r="E335" s="68"/>
      <c r="F335" s="95"/>
      <c r="G335" s="21"/>
    </row>
    <row r="336" spans="2:7" s="32" customFormat="1" x14ac:dyDescent="0.25">
      <c r="B336" s="39"/>
      <c r="D336" s="59"/>
      <c r="E336" s="68"/>
      <c r="F336" s="95"/>
      <c r="G336" s="21"/>
    </row>
    <row r="337" spans="2:7" s="32" customFormat="1" x14ac:dyDescent="0.25">
      <c r="B337" s="39"/>
      <c r="D337" s="59"/>
      <c r="E337" s="68"/>
      <c r="F337" s="95"/>
      <c r="G337" s="21"/>
    </row>
    <row r="338" spans="2:7" s="32" customFormat="1" x14ac:dyDescent="0.25">
      <c r="B338" s="39"/>
      <c r="D338" s="59"/>
      <c r="E338" s="68"/>
      <c r="F338" s="95"/>
      <c r="G338" s="21"/>
    </row>
    <row r="339" spans="2:7" s="32" customFormat="1" x14ac:dyDescent="0.25">
      <c r="B339" s="39"/>
      <c r="D339" s="59"/>
      <c r="E339" s="68"/>
      <c r="F339" s="95"/>
      <c r="G339" s="21"/>
    </row>
    <row r="340" spans="2:7" s="32" customFormat="1" x14ac:dyDescent="0.25">
      <c r="B340" s="39"/>
      <c r="D340" s="59"/>
      <c r="E340" s="68"/>
      <c r="F340" s="95"/>
      <c r="G340" s="21"/>
    </row>
    <row r="341" spans="2:7" s="32" customFormat="1" x14ac:dyDescent="0.25">
      <c r="B341" s="39"/>
      <c r="D341" s="59"/>
      <c r="E341" s="68"/>
      <c r="F341" s="95"/>
      <c r="G341" s="21"/>
    </row>
    <row r="342" spans="2:7" s="32" customFormat="1" x14ac:dyDescent="0.25">
      <c r="B342" s="39"/>
      <c r="D342" s="59"/>
      <c r="E342" s="68"/>
      <c r="F342" s="95"/>
      <c r="G342" s="21"/>
    </row>
    <row r="343" spans="2:7" s="32" customFormat="1" x14ac:dyDescent="0.25">
      <c r="B343" s="39"/>
      <c r="D343" s="59"/>
      <c r="E343" s="68"/>
      <c r="F343" s="95"/>
      <c r="G343" s="21"/>
    </row>
    <row r="344" spans="2:7" s="32" customFormat="1" x14ac:dyDescent="0.25">
      <c r="B344" s="39"/>
      <c r="D344" s="59"/>
      <c r="E344" s="68"/>
      <c r="F344" s="95"/>
      <c r="G344" s="21"/>
    </row>
    <row r="345" spans="2:7" s="32" customFormat="1" x14ac:dyDescent="0.25">
      <c r="B345" s="39"/>
      <c r="D345" s="59"/>
      <c r="E345" s="68"/>
      <c r="F345" s="95"/>
      <c r="G345" s="21"/>
    </row>
    <row r="346" spans="2:7" s="32" customFormat="1" x14ac:dyDescent="0.25">
      <c r="B346" s="39"/>
      <c r="D346" s="59"/>
      <c r="E346" s="68"/>
      <c r="F346" s="95"/>
      <c r="G346" s="21"/>
    </row>
    <row r="347" spans="2:7" s="32" customFormat="1" x14ac:dyDescent="0.25">
      <c r="B347" s="39"/>
      <c r="D347" s="59"/>
      <c r="E347" s="68"/>
      <c r="F347" s="95"/>
      <c r="G347" s="21"/>
    </row>
    <row r="348" spans="2:7" s="32" customFormat="1" x14ac:dyDescent="0.25">
      <c r="B348" s="39"/>
      <c r="D348" s="59"/>
      <c r="E348" s="68"/>
      <c r="F348" s="95"/>
      <c r="G348" s="21"/>
    </row>
    <row r="349" spans="2:7" s="32" customFormat="1" x14ac:dyDescent="0.25">
      <c r="B349" s="39"/>
      <c r="D349" s="59"/>
      <c r="E349" s="68"/>
      <c r="F349" s="95"/>
      <c r="G349" s="21"/>
    </row>
    <row r="350" spans="2:7" s="32" customFormat="1" x14ac:dyDescent="0.25">
      <c r="B350" s="39"/>
      <c r="D350" s="59"/>
      <c r="E350" s="68"/>
      <c r="F350" s="95"/>
      <c r="G350" s="21"/>
    </row>
    <row r="351" spans="2:7" s="32" customFormat="1" x14ac:dyDescent="0.25">
      <c r="B351" s="39"/>
      <c r="D351" s="59"/>
      <c r="E351" s="68"/>
      <c r="F351" s="95"/>
      <c r="G351" s="21"/>
    </row>
    <row r="352" spans="2:7" s="32" customFormat="1" x14ac:dyDescent="0.25">
      <c r="B352" s="39"/>
      <c r="D352" s="59"/>
      <c r="E352" s="68"/>
      <c r="F352" s="95"/>
      <c r="G352" s="21"/>
    </row>
    <row r="353" spans="2:7" s="32" customFormat="1" x14ac:dyDescent="0.25">
      <c r="B353" s="39"/>
      <c r="D353" s="59"/>
      <c r="E353" s="68"/>
      <c r="F353" s="95"/>
      <c r="G353" s="21"/>
    </row>
    <row r="354" spans="2:7" s="32" customFormat="1" x14ac:dyDescent="0.25">
      <c r="B354" s="39"/>
      <c r="D354" s="59"/>
      <c r="E354" s="68"/>
      <c r="F354" s="95"/>
      <c r="G354" s="21"/>
    </row>
    <row r="355" spans="2:7" s="32" customFormat="1" x14ac:dyDescent="0.25">
      <c r="B355" s="39"/>
      <c r="D355" s="59"/>
      <c r="E355" s="68"/>
      <c r="F355" s="95"/>
      <c r="G355" s="21"/>
    </row>
    <row r="356" spans="2:7" s="32" customFormat="1" x14ac:dyDescent="0.25">
      <c r="B356" s="39"/>
      <c r="D356" s="59"/>
      <c r="E356" s="68"/>
      <c r="F356" s="95"/>
      <c r="G356" s="21"/>
    </row>
    <row r="357" spans="2:7" s="32" customFormat="1" x14ac:dyDescent="0.25">
      <c r="B357" s="39"/>
      <c r="D357" s="59"/>
      <c r="E357" s="68"/>
      <c r="F357" s="95"/>
      <c r="G357" s="21"/>
    </row>
    <row r="358" spans="2:7" s="32" customFormat="1" x14ac:dyDescent="0.25">
      <c r="B358" s="39"/>
      <c r="D358" s="59"/>
      <c r="E358" s="68"/>
      <c r="F358" s="95"/>
      <c r="G358" s="21"/>
    </row>
    <row r="359" spans="2:7" s="32" customFormat="1" x14ac:dyDescent="0.25">
      <c r="B359" s="39"/>
      <c r="D359" s="59"/>
      <c r="E359" s="68"/>
      <c r="F359" s="95"/>
      <c r="G359" s="21"/>
    </row>
    <row r="360" spans="2:7" s="32" customFormat="1" x14ac:dyDescent="0.25">
      <c r="B360" s="39"/>
      <c r="D360" s="59"/>
      <c r="E360" s="68"/>
      <c r="F360" s="95"/>
      <c r="G360" s="21"/>
    </row>
    <row r="361" spans="2:7" s="32" customFormat="1" x14ac:dyDescent="0.25">
      <c r="B361" s="39"/>
      <c r="D361" s="59"/>
      <c r="E361" s="68"/>
      <c r="F361" s="95"/>
      <c r="G361" s="21"/>
    </row>
    <row r="362" spans="2:7" s="32" customFormat="1" x14ac:dyDescent="0.25">
      <c r="B362" s="39"/>
      <c r="D362" s="59"/>
      <c r="E362" s="68"/>
      <c r="F362" s="95"/>
      <c r="G362" s="21"/>
    </row>
    <row r="363" spans="2:7" s="32" customFormat="1" x14ac:dyDescent="0.25">
      <c r="B363" s="39"/>
      <c r="D363" s="59"/>
      <c r="E363" s="68"/>
      <c r="F363" s="95"/>
      <c r="G363" s="21"/>
    </row>
    <row r="364" spans="2:7" s="32" customFormat="1" x14ac:dyDescent="0.25">
      <c r="B364" s="39"/>
      <c r="D364" s="59"/>
      <c r="E364" s="68"/>
      <c r="F364" s="95"/>
      <c r="G364" s="21"/>
    </row>
    <row r="365" spans="2:7" s="32" customFormat="1" x14ac:dyDescent="0.25">
      <c r="B365" s="39"/>
      <c r="D365" s="59"/>
      <c r="E365" s="68"/>
      <c r="F365" s="95"/>
      <c r="G365" s="21"/>
    </row>
    <row r="366" spans="2:7" s="32" customFormat="1" x14ac:dyDescent="0.25">
      <c r="B366" s="39"/>
      <c r="D366" s="59"/>
      <c r="E366" s="68"/>
      <c r="F366" s="95"/>
      <c r="G366" s="21"/>
    </row>
    <row r="367" spans="2:7" s="32" customFormat="1" x14ac:dyDescent="0.25">
      <c r="B367" s="39"/>
      <c r="D367" s="59"/>
      <c r="E367" s="68"/>
      <c r="F367" s="95"/>
      <c r="G367" s="21"/>
    </row>
    <row r="368" spans="2:7" s="32" customFormat="1" x14ac:dyDescent="0.25">
      <c r="B368" s="39"/>
      <c r="D368" s="59"/>
      <c r="E368" s="68"/>
      <c r="F368" s="95"/>
      <c r="G368" s="21"/>
    </row>
    <row r="369" spans="2:7" s="32" customFormat="1" x14ac:dyDescent="0.25">
      <c r="B369" s="39"/>
      <c r="D369" s="59"/>
      <c r="E369" s="68"/>
      <c r="F369" s="95"/>
      <c r="G369" s="21"/>
    </row>
    <row r="370" spans="2:7" s="32" customFormat="1" x14ac:dyDescent="0.25">
      <c r="B370" s="39"/>
      <c r="D370" s="59"/>
      <c r="E370" s="68"/>
      <c r="F370" s="95"/>
      <c r="G370" s="21"/>
    </row>
    <row r="371" spans="2:7" s="32" customFormat="1" x14ac:dyDescent="0.25">
      <c r="B371" s="39"/>
      <c r="D371" s="59"/>
      <c r="E371" s="68"/>
      <c r="F371" s="95"/>
      <c r="G371" s="21"/>
    </row>
    <row r="372" spans="2:7" s="32" customFormat="1" x14ac:dyDescent="0.25">
      <c r="B372" s="39"/>
      <c r="D372" s="59"/>
      <c r="E372" s="68"/>
      <c r="F372" s="95"/>
      <c r="G372" s="21"/>
    </row>
    <row r="373" spans="2:7" s="32" customFormat="1" x14ac:dyDescent="0.25">
      <c r="B373" s="39"/>
      <c r="D373" s="59"/>
      <c r="E373" s="68"/>
      <c r="F373" s="95"/>
      <c r="G373" s="21"/>
    </row>
    <row r="374" spans="2:7" s="32" customFormat="1" x14ac:dyDescent="0.25">
      <c r="B374" s="39"/>
      <c r="D374" s="59"/>
      <c r="E374" s="68"/>
      <c r="F374" s="95"/>
      <c r="G374" s="21"/>
    </row>
    <row r="375" spans="2:7" s="32" customFormat="1" x14ac:dyDescent="0.25">
      <c r="B375" s="39"/>
      <c r="D375" s="59"/>
      <c r="E375" s="68"/>
      <c r="F375" s="95"/>
      <c r="G375" s="21"/>
    </row>
    <row r="376" spans="2:7" s="32" customFormat="1" x14ac:dyDescent="0.25">
      <c r="B376" s="39"/>
      <c r="D376" s="59"/>
      <c r="E376" s="68"/>
      <c r="F376" s="95"/>
      <c r="G376" s="21"/>
    </row>
    <row r="377" spans="2:7" s="32" customFormat="1" x14ac:dyDescent="0.25">
      <c r="B377" s="39"/>
      <c r="D377" s="59"/>
      <c r="E377" s="68"/>
      <c r="F377" s="95"/>
      <c r="G377" s="21"/>
    </row>
    <row r="378" spans="2:7" s="32" customFormat="1" x14ac:dyDescent="0.25">
      <c r="B378" s="39"/>
      <c r="D378" s="59"/>
      <c r="E378" s="68"/>
      <c r="F378" s="95"/>
      <c r="G378" s="21"/>
    </row>
    <row r="379" spans="2:7" s="32" customFormat="1" x14ac:dyDescent="0.25">
      <c r="B379" s="39"/>
      <c r="D379" s="59"/>
      <c r="E379" s="68"/>
      <c r="F379" s="95"/>
      <c r="G379" s="21"/>
    </row>
    <row r="380" spans="2:7" s="32" customFormat="1" x14ac:dyDescent="0.25">
      <c r="B380" s="39"/>
      <c r="D380" s="59"/>
      <c r="E380" s="68"/>
      <c r="F380" s="95"/>
      <c r="G380" s="21"/>
    </row>
    <row r="381" spans="2:7" s="32" customFormat="1" x14ac:dyDescent="0.25">
      <c r="B381" s="39"/>
      <c r="D381" s="59"/>
      <c r="E381" s="68"/>
      <c r="F381" s="95"/>
      <c r="G381" s="21"/>
    </row>
    <row r="382" spans="2:7" s="32" customFormat="1" x14ac:dyDescent="0.25">
      <c r="B382" s="39"/>
      <c r="D382" s="59"/>
      <c r="E382" s="68"/>
      <c r="F382" s="95"/>
      <c r="G382" s="21"/>
    </row>
    <row r="383" spans="2:7" s="32" customFormat="1" x14ac:dyDescent="0.25">
      <c r="B383" s="39"/>
      <c r="D383" s="59"/>
      <c r="E383" s="68"/>
      <c r="F383" s="95"/>
      <c r="G383" s="21"/>
    </row>
    <row r="384" spans="2:7" s="32" customFormat="1" x14ac:dyDescent="0.25">
      <c r="B384" s="39"/>
      <c r="D384" s="59"/>
      <c r="E384" s="68"/>
      <c r="F384" s="95"/>
      <c r="G384" s="21"/>
    </row>
    <row r="385" spans="2:7" s="32" customFormat="1" x14ac:dyDescent="0.25">
      <c r="B385" s="39"/>
      <c r="D385" s="59"/>
      <c r="E385" s="68"/>
      <c r="F385" s="95"/>
      <c r="G385" s="21"/>
    </row>
    <row r="386" spans="2:7" s="32" customFormat="1" x14ac:dyDescent="0.25">
      <c r="B386" s="39"/>
      <c r="D386" s="59"/>
      <c r="E386" s="68"/>
      <c r="F386" s="95"/>
      <c r="G386" s="21"/>
    </row>
    <row r="387" spans="2:7" s="32" customFormat="1" x14ac:dyDescent="0.25">
      <c r="B387" s="39"/>
      <c r="D387" s="59"/>
      <c r="E387" s="68"/>
      <c r="F387" s="95"/>
      <c r="G387" s="21"/>
    </row>
    <row r="388" spans="2:7" s="32" customFormat="1" x14ac:dyDescent="0.25">
      <c r="B388" s="39"/>
      <c r="D388" s="59"/>
      <c r="E388" s="68"/>
      <c r="F388" s="95"/>
      <c r="G388" s="21"/>
    </row>
    <row r="389" spans="2:7" s="32" customFormat="1" x14ac:dyDescent="0.25">
      <c r="B389" s="39"/>
      <c r="D389" s="59"/>
      <c r="E389" s="68"/>
      <c r="F389" s="95"/>
      <c r="G389" s="21"/>
    </row>
    <row r="390" spans="2:7" s="32" customFormat="1" x14ac:dyDescent="0.25">
      <c r="B390" s="39"/>
      <c r="D390" s="59"/>
      <c r="E390" s="68"/>
      <c r="F390" s="95"/>
      <c r="G390" s="21"/>
    </row>
    <row r="391" spans="2:7" s="32" customFormat="1" x14ac:dyDescent="0.25">
      <c r="B391" s="39"/>
      <c r="D391" s="59"/>
      <c r="E391" s="68"/>
      <c r="F391" s="95"/>
      <c r="G391" s="21"/>
    </row>
    <row r="392" spans="2:7" s="32" customFormat="1" x14ac:dyDescent="0.25">
      <c r="B392" s="39"/>
      <c r="D392" s="59"/>
      <c r="E392" s="68"/>
      <c r="F392" s="95"/>
      <c r="G392" s="21"/>
    </row>
    <row r="393" spans="2:7" s="32" customFormat="1" x14ac:dyDescent="0.25">
      <c r="B393" s="39"/>
      <c r="D393" s="59"/>
      <c r="E393" s="68"/>
      <c r="F393" s="95"/>
      <c r="G393" s="21"/>
    </row>
    <row r="394" spans="2:7" s="32" customFormat="1" x14ac:dyDescent="0.25">
      <c r="B394" s="39"/>
      <c r="D394" s="59"/>
      <c r="E394" s="68"/>
      <c r="F394" s="95"/>
      <c r="G394" s="21"/>
    </row>
    <row r="395" spans="2:7" s="32" customFormat="1" x14ac:dyDescent="0.25">
      <c r="B395" s="39"/>
      <c r="D395" s="59"/>
      <c r="E395" s="68"/>
      <c r="F395" s="95"/>
      <c r="G395" s="21"/>
    </row>
    <row r="396" spans="2:7" s="32" customFormat="1" x14ac:dyDescent="0.25">
      <c r="B396" s="39"/>
      <c r="D396" s="59"/>
      <c r="E396" s="68"/>
      <c r="F396" s="95"/>
      <c r="G396" s="21"/>
    </row>
    <row r="397" spans="2:7" s="32" customFormat="1" x14ac:dyDescent="0.25">
      <c r="B397" s="39"/>
      <c r="D397" s="59"/>
      <c r="E397" s="68"/>
      <c r="F397" s="95"/>
      <c r="G397" s="21"/>
    </row>
    <row r="398" spans="2:7" s="32" customFormat="1" x14ac:dyDescent="0.25">
      <c r="B398" s="39"/>
      <c r="D398" s="59"/>
      <c r="E398" s="68"/>
      <c r="F398" s="95"/>
      <c r="G398" s="21"/>
    </row>
    <row r="399" spans="2:7" s="32" customFormat="1" x14ac:dyDescent="0.25">
      <c r="B399" s="39"/>
      <c r="D399" s="59"/>
      <c r="E399" s="68"/>
      <c r="F399" s="95"/>
      <c r="G399" s="21"/>
    </row>
    <row r="400" spans="2:7" s="32" customFormat="1" x14ac:dyDescent="0.25">
      <c r="B400" s="39"/>
      <c r="D400" s="59"/>
      <c r="E400" s="68"/>
      <c r="F400" s="95"/>
      <c r="G400" s="21"/>
    </row>
    <row r="401" spans="2:7" s="32" customFormat="1" x14ac:dyDescent="0.25">
      <c r="B401" s="39"/>
      <c r="D401" s="59"/>
      <c r="E401" s="68"/>
      <c r="F401" s="95"/>
      <c r="G401" s="21"/>
    </row>
    <row r="402" spans="2:7" s="32" customFormat="1" x14ac:dyDescent="0.25">
      <c r="B402" s="39"/>
      <c r="D402" s="59"/>
      <c r="E402" s="68"/>
      <c r="F402" s="95"/>
      <c r="G402" s="21"/>
    </row>
    <row r="403" spans="2:7" s="32" customFormat="1" x14ac:dyDescent="0.25">
      <c r="B403" s="39"/>
      <c r="D403" s="59"/>
      <c r="E403" s="68"/>
      <c r="F403" s="95"/>
      <c r="G403" s="21"/>
    </row>
    <row r="404" spans="2:7" s="32" customFormat="1" x14ac:dyDescent="0.25">
      <c r="B404" s="39"/>
      <c r="D404" s="59"/>
      <c r="E404" s="68"/>
      <c r="F404" s="95"/>
      <c r="G404" s="21"/>
    </row>
    <row r="405" spans="2:7" s="32" customFormat="1" x14ac:dyDescent="0.25">
      <c r="B405" s="39"/>
      <c r="D405" s="59"/>
      <c r="E405" s="68"/>
      <c r="F405" s="95"/>
      <c r="G405" s="21"/>
    </row>
    <row r="406" spans="2:7" s="32" customFormat="1" x14ac:dyDescent="0.25">
      <c r="B406" s="39"/>
      <c r="D406" s="59"/>
      <c r="E406" s="68"/>
      <c r="F406" s="95"/>
      <c r="G406" s="21"/>
    </row>
    <row r="407" spans="2:7" s="32" customFormat="1" x14ac:dyDescent="0.25">
      <c r="B407" s="39"/>
      <c r="D407" s="59"/>
      <c r="E407" s="68"/>
      <c r="F407" s="95"/>
      <c r="G407" s="21"/>
    </row>
    <row r="408" spans="2:7" s="32" customFormat="1" x14ac:dyDescent="0.25">
      <c r="B408" s="39"/>
      <c r="D408" s="59"/>
      <c r="E408" s="68"/>
      <c r="F408" s="95"/>
      <c r="G408" s="21"/>
    </row>
    <row r="409" spans="2:7" s="32" customFormat="1" x14ac:dyDescent="0.25">
      <c r="B409" s="39"/>
      <c r="D409" s="59"/>
      <c r="E409" s="68"/>
      <c r="F409" s="95"/>
      <c r="G409" s="21"/>
    </row>
    <row r="410" spans="2:7" s="32" customFormat="1" x14ac:dyDescent="0.25">
      <c r="B410" s="39"/>
      <c r="D410" s="59"/>
      <c r="E410" s="68"/>
      <c r="F410" s="95"/>
      <c r="G410" s="21"/>
    </row>
    <row r="411" spans="2:7" s="32" customFormat="1" x14ac:dyDescent="0.25">
      <c r="B411" s="39"/>
      <c r="D411" s="59"/>
      <c r="E411" s="68"/>
      <c r="F411" s="95"/>
      <c r="G411" s="21"/>
    </row>
    <row r="412" spans="2:7" s="32" customFormat="1" x14ac:dyDescent="0.25">
      <c r="B412" s="39"/>
      <c r="D412" s="59"/>
      <c r="E412" s="68"/>
      <c r="F412" s="95"/>
      <c r="G412" s="21"/>
    </row>
    <row r="413" spans="2:7" s="32" customFormat="1" x14ac:dyDescent="0.25">
      <c r="B413" s="39"/>
      <c r="D413" s="59"/>
      <c r="E413" s="68"/>
      <c r="F413" s="95"/>
      <c r="G413" s="21"/>
    </row>
    <row r="414" spans="2:7" s="32" customFormat="1" x14ac:dyDescent="0.25">
      <c r="B414" s="39"/>
      <c r="D414" s="59"/>
      <c r="E414" s="68"/>
      <c r="F414" s="95"/>
      <c r="G414" s="21"/>
    </row>
    <row r="415" spans="2:7" s="32" customFormat="1" x14ac:dyDescent="0.25">
      <c r="B415" s="39"/>
      <c r="D415" s="59"/>
      <c r="E415" s="68"/>
      <c r="F415" s="95"/>
      <c r="G415" s="21"/>
    </row>
    <row r="416" spans="2:7" s="32" customFormat="1" x14ac:dyDescent="0.25">
      <c r="B416" s="39"/>
      <c r="D416" s="59"/>
      <c r="E416" s="68"/>
      <c r="F416" s="95"/>
      <c r="G416" s="21"/>
    </row>
    <row r="417" spans="2:7" s="32" customFormat="1" x14ac:dyDescent="0.25">
      <c r="B417" s="39"/>
      <c r="D417" s="59"/>
      <c r="E417" s="68"/>
      <c r="F417" s="95"/>
      <c r="G417" s="21"/>
    </row>
    <row r="418" spans="2:7" s="32" customFormat="1" x14ac:dyDescent="0.25">
      <c r="B418" s="39"/>
      <c r="D418" s="59"/>
      <c r="E418" s="68"/>
      <c r="F418" s="95"/>
      <c r="G418" s="21"/>
    </row>
    <row r="419" spans="2:7" s="32" customFormat="1" x14ac:dyDescent="0.25">
      <c r="B419" s="39"/>
      <c r="D419" s="59"/>
      <c r="E419" s="68"/>
      <c r="F419" s="95"/>
      <c r="G419" s="21"/>
    </row>
    <row r="420" spans="2:7" s="32" customFormat="1" x14ac:dyDescent="0.25">
      <c r="B420" s="39"/>
      <c r="D420" s="59"/>
      <c r="E420" s="68"/>
      <c r="F420" s="95"/>
      <c r="G420" s="21"/>
    </row>
    <row r="421" spans="2:7" s="32" customFormat="1" x14ac:dyDescent="0.25">
      <c r="B421" s="39"/>
      <c r="D421" s="59"/>
      <c r="E421" s="68"/>
      <c r="F421" s="95"/>
      <c r="G421" s="21"/>
    </row>
    <row r="422" spans="2:7" s="32" customFormat="1" x14ac:dyDescent="0.25">
      <c r="B422" s="39"/>
      <c r="D422" s="59"/>
      <c r="E422" s="68"/>
      <c r="F422" s="95"/>
      <c r="G422" s="21"/>
    </row>
    <row r="423" spans="2:7" s="32" customFormat="1" x14ac:dyDescent="0.25">
      <c r="B423" s="39"/>
      <c r="D423" s="59"/>
      <c r="E423" s="68"/>
      <c r="F423" s="95"/>
      <c r="G423" s="21"/>
    </row>
    <row r="424" spans="2:7" s="32" customFormat="1" x14ac:dyDescent="0.25">
      <c r="B424" s="39"/>
      <c r="D424" s="59"/>
      <c r="E424" s="68"/>
      <c r="F424" s="95"/>
      <c r="G424" s="21"/>
    </row>
    <row r="425" spans="2:7" s="32" customFormat="1" x14ac:dyDescent="0.25">
      <c r="B425" s="39"/>
      <c r="D425" s="59"/>
      <c r="E425" s="68"/>
      <c r="F425" s="95"/>
      <c r="G425" s="21"/>
    </row>
    <row r="426" spans="2:7" s="32" customFormat="1" x14ac:dyDescent="0.25">
      <c r="B426" s="39"/>
      <c r="D426" s="59"/>
      <c r="E426" s="68"/>
      <c r="F426" s="95"/>
      <c r="G426" s="21"/>
    </row>
    <row r="427" spans="2:7" s="32" customFormat="1" x14ac:dyDescent="0.25">
      <c r="B427" s="39"/>
      <c r="D427" s="59"/>
      <c r="E427" s="68"/>
      <c r="F427" s="95"/>
      <c r="G427" s="21"/>
    </row>
    <row r="428" spans="2:7" s="32" customFormat="1" x14ac:dyDescent="0.25">
      <c r="B428" s="39"/>
      <c r="D428" s="59"/>
      <c r="E428" s="68"/>
      <c r="F428" s="95"/>
      <c r="G428" s="21"/>
    </row>
    <row r="429" spans="2:7" s="32" customFormat="1" x14ac:dyDescent="0.25">
      <c r="B429" s="39"/>
      <c r="D429" s="59"/>
      <c r="E429" s="68"/>
      <c r="F429" s="95"/>
      <c r="G429" s="21"/>
    </row>
    <row r="430" spans="2:7" s="32" customFormat="1" x14ac:dyDescent="0.25">
      <c r="B430" s="39"/>
      <c r="D430" s="59"/>
      <c r="E430" s="68"/>
      <c r="F430" s="95"/>
      <c r="G430" s="21"/>
    </row>
    <row r="431" spans="2:7" s="32" customFormat="1" x14ac:dyDescent="0.25">
      <c r="B431" s="39"/>
      <c r="D431" s="59"/>
      <c r="E431" s="68"/>
      <c r="F431" s="95"/>
      <c r="G431" s="21"/>
    </row>
    <row r="432" spans="2:7" s="32" customFormat="1" x14ac:dyDescent="0.25">
      <c r="B432" s="39"/>
      <c r="D432" s="59"/>
      <c r="E432" s="68"/>
      <c r="F432" s="95"/>
      <c r="G432" s="21"/>
    </row>
    <row r="433" spans="2:7" s="32" customFormat="1" x14ac:dyDescent="0.25">
      <c r="B433" s="39"/>
      <c r="D433" s="59"/>
      <c r="E433" s="68"/>
      <c r="F433" s="95"/>
      <c r="G433" s="21"/>
    </row>
    <row r="434" spans="2:7" s="32" customFormat="1" x14ac:dyDescent="0.25">
      <c r="B434" s="39"/>
      <c r="D434" s="59"/>
      <c r="E434" s="68"/>
      <c r="F434" s="95"/>
      <c r="G434" s="21"/>
    </row>
    <row r="435" spans="2:7" s="32" customFormat="1" x14ac:dyDescent="0.25">
      <c r="B435" s="39"/>
      <c r="D435" s="59"/>
      <c r="E435" s="68"/>
      <c r="F435" s="95"/>
      <c r="G435" s="21"/>
    </row>
    <row r="436" spans="2:7" s="32" customFormat="1" x14ac:dyDescent="0.25">
      <c r="B436" s="39"/>
      <c r="D436" s="59"/>
      <c r="E436" s="68"/>
      <c r="F436" s="95"/>
      <c r="G436" s="21"/>
    </row>
    <row r="437" spans="2:7" s="32" customFormat="1" x14ac:dyDescent="0.25">
      <c r="B437" s="39"/>
      <c r="D437" s="59"/>
      <c r="E437" s="68"/>
      <c r="F437" s="95"/>
      <c r="G437" s="21"/>
    </row>
    <row r="438" spans="2:7" s="32" customFormat="1" x14ac:dyDescent="0.25">
      <c r="B438" s="39"/>
      <c r="D438" s="59"/>
      <c r="E438" s="68"/>
      <c r="F438" s="95"/>
      <c r="G438" s="21"/>
    </row>
    <row r="439" spans="2:7" s="32" customFormat="1" x14ac:dyDescent="0.25">
      <c r="B439" s="39"/>
      <c r="D439" s="59"/>
      <c r="E439" s="68"/>
      <c r="F439" s="95"/>
      <c r="G439" s="21"/>
    </row>
    <row r="440" spans="2:7" s="32" customFormat="1" x14ac:dyDescent="0.25">
      <c r="B440" s="39"/>
      <c r="D440" s="59"/>
      <c r="E440" s="68"/>
      <c r="F440" s="95"/>
      <c r="G440" s="21"/>
    </row>
    <row r="441" spans="2:7" s="32" customFormat="1" x14ac:dyDescent="0.25">
      <c r="B441" s="39"/>
      <c r="D441" s="59"/>
      <c r="E441" s="68"/>
      <c r="F441" s="95"/>
      <c r="G441" s="21"/>
    </row>
    <row r="442" spans="2:7" s="32" customFormat="1" x14ac:dyDescent="0.25">
      <c r="B442" s="39"/>
      <c r="D442" s="59"/>
      <c r="E442" s="68"/>
      <c r="F442" s="95"/>
      <c r="G442" s="21"/>
    </row>
    <row r="443" spans="2:7" s="32" customFormat="1" x14ac:dyDescent="0.25">
      <c r="B443" s="39"/>
      <c r="D443" s="59"/>
      <c r="E443" s="68"/>
      <c r="F443" s="95"/>
      <c r="G443" s="21"/>
    </row>
    <row r="444" spans="2:7" s="32" customFormat="1" x14ac:dyDescent="0.25">
      <c r="B444" s="39"/>
      <c r="D444" s="59"/>
      <c r="E444" s="68"/>
      <c r="F444" s="95"/>
      <c r="G444" s="21"/>
    </row>
    <row r="445" spans="2:7" s="32" customFormat="1" x14ac:dyDescent="0.25">
      <c r="B445" s="39"/>
      <c r="D445" s="59"/>
      <c r="E445" s="68"/>
      <c r="F445" s="95"/>
      <c r="G445" s="21"/>
    </row>
    <row r="446" spans="2:7" s="32" customFormat="1" x14ac:dyDescent="0.25">
      <c r="B446" s="39"/>
      <c r="D446" s="59"/>
      <c r="E446" s="68"/>
      <c r="F446" s="95"/>
      <c r="G446" s="21"/>
    </row>
    <row r="447" spans="2:7" s="32" customFormat="1" x14ac:dyDescent="0.25">
      <c r="B447" s="39"/>
      <c r="D447" s="59"/>
      <c r="E447" s="68"/>
      <c r="F447" s="95"/>
      <c r="G447" s="21"/>
    </row>
    <row r="448" spans="2:7" s="32" customFormat="1" x14ac:dyDescent="0.25">
      <c r="B448" s="39"/>
      <c r="D448" s="59"/>
      <c r="E448" s="68"/>
      <c r="F448" s="95"/>
      <c r="G448" s="21"/>
    </row>
    <row r="449" spans="2:7" s="32" customFormat="1" x14ac:dyDescent="0.25">
      <c r="B449" s="39"/>
      <c r="D449" s="59"/>
      <c r="E449" s="68"/>
      <c r="F449" s="95"/>
      <c r="G449" s="21"/>
    </row>
    <row r="450" spans="2:7" s="32" customFormat="1" x14ac:dyDescent="0.25">
      <c r="B450" s="39"/>
      <c r="D450" s="59"/>
      <c r="E450" s="68"/>
      <c r="F450" s="95"/>
      <c r="G450" s="21"/>
    </row>
    <row r="451" spans="2:7" s="32" customFormat="1" x14ac:dyDescent="0.25">
      <c r="B451" s="39"/>
      <c r="D451" s="59"/>
      <c r="E451" s="68"/>
      <c r="F451" s="95"/>
      <c r="G451" s="21"/>
    </row>
    <row r="452" spans="2:7" s="32" customFormat="1" x14ac:dyDescent="0.25">
      <c r="B452" s="39"/>
      <c r="D452" s="59"/>
      <c r="E452" s="68"/>
      <c r="F452" s="95"/>
      <c r="G452" s="21"/>
    </row>
    <row r="453" spans="2:7" s="32" customFormat="1" x14ac:dyDescent="0.25">
      <c r="B453" s="39"/>
      <c r="D453" s="59"/>
      <c r="E453" s="68"/>
      <c r="F453" s="95"/>
      <c r="G453" s="21"/>
    </row>
    <row r="454" spans="2:7" s="32" customFormat="1" x14ac:dyDescent="0.25">
      <c r="B454" s="39"/>
      <c r="D454" s="59"/>
      <c r="E454" s="68"/>
      <c r="F454" s="95"/>
      <c r="G454" s="21"/>
    </row>
    <row r="455" spans="2:7" s="32" customFormat="1" x14ac:dyDescent="0.25">
      <c r="B455" s="39"/>
      <c r="D455" s="59"/>
      <c r="E455" s="68"/>
      <c r="F455" s="95"/>
      <c r="G455" s="21"/>
    </row>
    <row r="456" spans="2:7" s="32" customFormat="1" x14ac:dyDescent="0.25">
      <c r="B456" s="39"/>
      <c r="D456" s="59"/>
      <c r="E456" s="68"/>
      <c r="F456" s="95"/>
      <c r="G456" s="21"/>
    </row>
    <row r="457" spans="2:7" s="32" customFormat="1" x14ac:dyDescent="0.25">
      <c r="B457" s="39"/>
      <c r="D457" s="59"/>
      <c r="E457" s="68"/>
      <c r="F457" s="95"/>
      <c r="G457" s="21"/>
    </row>
    <row r="458" spans="2:7" s="32" customFormat="1" x14ac:dyDescent="0.25">
      <c r="B458" s="39"/>
      <c r="D458" s="59"/>
      <c r="E458" s="68"/>
      <c r="F458" s="95"/>
      <c r="G458" s="21"/>
    </row>
    <row r="459" spans="2:7" s="32" customFormat="1" x14ac:dyDescent="0.25">
      <c r="B459" s="39"/>
      <c r="D459" s="59"/>
      <c r="E459" s="68"/>
      <c r="F459" s="95"/>
      <c r="G459" s="21"/>
    </row>
    <row r="460" spans="2:7" s="32" customFormat="1" x14ac:dyDescent="0.25">
      <c r="B460" s="39"/>
      <c r="D460" s="59"/>
      <c r="E460" s="68"/>
      <c r="F460" s="95"/>
      <c r="G460" s="21"/>
    </row>
    <row r="461" spans="2:7" s="32" customFormat="1" x14ac:dyDescent="0.25">
      <c r="B461" s="39"/>
      <c r="D461" s="59"/>
      <c r="E461" s="68"/>
      <c r="F461" s="95"/>
      <c r="G461" s="21"/>
    </row>
    <row r="462" spans="2:7" s="32" customFormat="1" x14ac:dyDescent="0.25">
      <c r="B462" s="39"/>
      <c r="D462" s="59"/>
      <c r="E462" s="68"/>
      <c r="F462" s="95"/>
      <c r="G462" s="21"/>
    </row>
    <row r="463" spans="2:7" s="32" customFormat="1" x14ac:dyDescent="0.25">
      <c r="B463" s="39"/>
      <c r="D463" s="59"/>
      <c r="E463" s="68"/>
      <c r="F463" s="95"/>
      <c r="G463" s="21"/>
    </row>
    <row r="464" spans="2:7" s="32" customFormat="1" x14ac:dyDescent="0.25">
      <c r="B464" s="39"/>
      <c r="D464" s="59"/>
      <c r="E464" s="68"/>
      <c r="F464" s="95"/>
      <c r="G464" s="21"/>
    </row>
    <row r="465" spans="2:7" s="32" customFormat="1" x14ac:dyDescent="0.25">
      <c r="B465" s="39"/>
      <c r="D465" s="59"/>
      <c r="E465" s="68"/>
      <c r="F465" s="95"/>
      <c r="G465" s="21"/>
    </row>
    <row r="466" spans="2:7" s="32" customFormat="1" x14ac:dyDescent="0.25">
      <c r="B466" s="39"/>
      <c r="D466" s="59"/>
      <c r="E466" s="68"/>
      <c r="F466" s="95"/>
      <c r="G466" s="21"/>
    </row>
    <row r="467" spans="2:7" s="32" customFormat="1" x14ac:dyDescent="0.25">
      <c r="B467" s="39"/>
      <c r="D467" s="59"/>
      <c r="E467" s="68"/>
      <c r="F467" s="95"/>
      <c r="G467" s="21"/>
    </row>
    <row r="468" spans="2:7" s="32" customFormat="1" x14ac:dyDescent="0.25">
      <c r="B468" s="39"/>
      <c r="D468" s="59"/>
      <c r="E468" s="68"/>
      <c r="F468" s="95"/>
      <c r="G468" s="21"/>
    </row>
    <row r="469" spans="2:7" s="32" customFormat="1" x14ac:dyDescent="0.25">
      <c r="B469" s="39"/>
      <c r="D469" s="59"/>
      <c r="E469" s="68"/>
      <c r="F469" s="95"/>
      <c r="G469" s="21"/>
    </row>
    <row r="470" spans="2:7" s="32" customFormat="1" x14ac:dyDescent="0.25">
      <c r="B470" s="39"/>
      <c r="D470" s="59"/>
      <c r="E470" s="68"/>
      <c r="F470" s="95"/>
      <c r="G470" s="21"/>
    </row>
    <row r="471" spans="2:7" s="32" customFormat="1" x14ac:dyDescent="0.25">
      <c r="B471" s="39"/>
      <c r="D471" s="59"/>
      <c r="E471" s="68"/>
      <c r="F471" s="95"/>
      <c r="G471" s="21"/>
    </row>
    <row r="472" spans="2:7" s="32" customFormat="1" x14ac:dyDescent="0.25">
      <c r="B472" s="39"/>
      <c r="D472" s="59"/>
      <c r="E472" s="68"/>
      <c r="F472" s="95"/>
      <c r="G472" s="21"/>
    </row>
    <row r="473" spans="2:7" s="32" customFormat="1" x14ac:dyDescent="0.25">
      <c r="B473" s="39"/>
      <c r="D473" s="59"/>
      <c r="E473" s="68"/>
      <c r="F473" s="95"/>
      <c r="G473" s="21"/>
    </row>
    <row r="474" spans="2:7" s="32" customFormat="1" x14ac:dyDescent="0.25">
      <c r="B474" s="39"/>
      <c r="D474" s="59"/>
      <c r="E474" s="68"/>
      <c r="F474" s="95"/>
      <c r="G474" s="21"/>
    </row>
    <row r="475" spans="2:7" s="32" customFormat="1" x14ac:dyDescent="0.25">
      <c r="B475" s="39"/>
      <c r="D475" s="59"/>
      <c r="E475" s="68"/>
      <c r="F475" s="95"/>
      <c r="G475" s="21"/>
    </row>
    <row r="476" spans="2:7" s="32" customFormat="1" x14ac:dyDescent="0.25">
      <c r="B476" s="39"/>
      <c r="D476" s="59"/>
      <c r="E476" s="68"/>
      <c r="F476" s="95"/>
      <c r="G476" s="21"/>
    </row>
    <row r="477" spans="2:7" s="32" customFormat="1" x14ac:dyDescent="0.25">
      <c r="B477" s="39"/>
      <c r="D477" s="59"/>
      <c r="E477" s="68"/>
      <c r="F477" s="95"/>
      <c r="G477" s="21"/>
    </row>
    <row r="478" spans="2:7" s="32" customFormat="1" x14ac:dyDescent="0.25">
      <c r="B478" s="39"/>
      <c r="D478" s="59"/>
      <c r="E478" s="68"/>
      <c r="F478" s="95"/>
      <c r="G478" s="21"/>
    </row>
    <row r="479" spans="2:7" s="32" customFormat="1" x14ac:dyDescent="0.25">
      <c r="B479" s="39"/>
      <c r="D479" s="59"/>
      <c r="E479" s="68"/>
      <c r="F479" s="95"/>
      <c r="G479" s="21"/>
    </row>
    <row r="480" spans="2:7" s="32" customFormat="1" x14ac:dyDescent="0.25">
      <c r="B480" s="39"/>
      <c r="D480" s="59"/>
      <c r="E480" s="68"/>
      <c r="F480" s="95"/>
      <c r="G480" s="21"/>
    </row>
    <row r="481" spans="2:7" s="32" customFormat="1" x14ac:dyDescent="0.25">
      <c r="B481" s="39"/>
      <c r="D481" s="59"/>
      <c r="E481" s="68"/>
      <c r="F481" s="95"/>
      <c r="G481" s="21"/>
    </row>
    <row r="482" spans="2:7" s="32" customFormat="1" x14ac:dyDescent="0.25">
      <c r="B482" s="39"/>
      <c r="D482" s="59"/>
      <c r="E482" s="68"/>
      <c r="F482" s="95"/>
      <c r="G482" s="21"/>
    </row>
    <row r="483" spans="2:7" s="32" customFormat="1" x14ac:dyDescent="0.25">
      <c r="B483" s="39"/>
      <c r="D483" s="59"/>
      <c r="E483" s="68"/>
      <c r="F483" s="95"/>
      <c r="G483" s="21"/>
    </row>
    <row r="484" spans="2:7" s="32" customFormat="1" x14ac:dyDescent="0.25">
      <c r="B484" s="39"/>
      <c r="D484" s="59"/>
      <c r="E484" s="68"/>
      <c r="F484" s="95"/>
      <c r="G484" s="21"/>
    </row>
    <row r="485" spans="2:7" s="32" customFormat="1" x14ac:dyDescent="0.25">
      <c r="B485" s="39"/>
      <c r="D485" s="59"/>
      <c r="E485" s="68"/>
      <c r="F485" s="95"/>
      <c r="G485" s="21"/>
    </row>
    <row r="486" spans="2:7" s="32" customFormat="1" x14ac:dyDescent="0.25">
      <c r="B486" s="39"/>
      <c r="D486" s="59"/>
      <c r="E486" s="68"/>
      <c r="F486" s="95"/>
      <c r="G486" s="21"/>
    </row>
    <row r="487" spans="2:7" s="32" customFormat="1" x14ac:dyDescent="0.25">
      <c r="B487" s="39"/>
      <c r="D487" s="59"/>
      <c r="E487" s="68"/>
      <c r="F487" s="95"/>
      <c r="G487" s="21"/>
    </row>
    <row r="488" spans="2:7" s="32" customFormat="1" x14ac:dyDescent="0.25">
      <c r="B488" s="39"/>
      <c r="D488" s="59"/>
      <c r="E488" s="68"/>
      <c r="F488" s="95"/>
      <c r="G488" s="21"/>
    </row>
    <row r="489" spans="2:7" s="32" customFormat="1" x14ac:dyDescent="0.25">
      <c r="B489" s="39"/>
      <c r="D489" s="59"/>
      <c r="E489" s="68"/>
      <c r="F489" s="95"/>
      <c r="G489" s="21"/>
    </row>
    <row r="490" spans="2:7" s="32" customFormat="1" x14ac:dyDescent="0.25">
      <c r="B490" s="39"/>
      <c r="D490" s="59"/>
      <c r="E490" s="68"/>
      <c r="F490" s="95"/>
      <c r="G490" s="21"/>
    </row>
    <row r="491" spans="2:7" s="32" customFormat="1" x14ac:dyDescent="0.25">
      <c r="B491" s="39"/>
      <c r="D491" s="59"/>
      <c r="E491" s="68"/>
      <c r="F491" s="95"/>
      <c r="G491" s="21"/>
    </row>
    <row r="492" spans="2:7" s="32" customFormat="1" x14ac:dyDescent="0.25">
      <c r="B492" s="39"/>
      <c r="D492" s="59"/>
      <c r="E492" s="68"/>
      <c r="F492" s="95"/>
      <c r="G492" s="21"/>
    </row>
    <row r="493" spans="2:7" s="32" customFormat="1" x14ac:dyDescent="0.25">
      <c r="B493" s="39"/>
      <c r="D493" s="59"/>
      <c r="E493" s="68"/>
      <c r="F493" s="95"/>
      <c r="G493" s="21"/>
    </row>
    <row r="494" spans="2:7" s="32" customFormat="1" x14ac:dyDescent="0.25">
      <c r="B494" s="39"/>
      <c r="D494" s="59"/>
      <c r="E494" s="68"/>
      <c r="F494" s="95"/>
      <c r="G494" s="21"/>
    </row>
    <row r="495" spans="2:7" s="32" customFormat="1" x14ac:dyDescent="0.25">
      <c r="B495" s="39"/>
      <c r="D495" s="59"/>
      <c r="E495" s="68"/>
      <c r="F495" s="95"/>
      <c r="G495" s="21"/>
    </row>
    <row r="496" spans="2:7" s="32" customFormat="1" x14ac:dyDescent="0.25">
      <c r="B496" s="39"/>
      <c r="D496" s="59"/>
      <c r="E496" s="68"/>
      <c r="F496" s="95"/>
      <c r="G496" s="21"/>
    </row>
    <row r="497" spans="2:7" s="32" customFormat="1" x14ac:dyDescent="0.25">
      <c r="B497" s="39"/>
      <c r="D497" s="59"/>
      <c r="E497" s="68"/>
      <c r="F497" s="95"/>
      <c r="G497" s="21"/>
    </row>
    <row r="498" spans="2:7" s="32" customFormat="1" x14ac:dyDescent="0.25">
      <c r="B498" s="39"/>
      <c r="D498" s="59"/>
      <c r="E498" s="68"/>
      <c r="F498" s="95"/>
      <c r="G498" s="21"/>
    </row>
    <row r="499" spans="2:7" s="32" customFormat="1" x14ac:dyDescent="0.25">
      <c r="B499" s="39"/>
      <c r="D499" s="59"/>
      <c r="E499" s="68"/>
      <c r="F499" s="95"/>
      <c r="G499" s="21"/>
    </row>
    <row r="500" spans="2:7" s="32" customFormat="1" x14ac:dyDescent="0.25">
      <c r="B500" s="39"/>
      <c r="D500" s="59"/>
      <c r="E500" s="68"/>
      <c r="F500" s="95"/>
      <c r="G500" s="21"/>
    </row>
    <row r="501" spans="2:7" s="32" customFormat="1" x14ac:dyDescent="0.25">
      <c r="B501" s="39"/>
      <c r="D501" s="59"/>
      <c r="E501" s="68"/>
      <c r="F501" s="95"/>
      <c r="G501" s="21"/>
    </row>
    <row r="502" spans="2:7" s="32" customFormat="1" x14ac:dyDescent="0.25">
      <c r="B502" s="39"/>
      <c r="D502" s="59"/>
      <c r="E502" s="68"/>
      <c r="F502" s="95"/>
      <c r="G502" s="21"/>
    </row>
    <row r="503" spans="2:7" s="32" customFormat="1" x14ac:dyDescent="0.25">
      <c r="B503" s="39"/>
      <c r="D503" s="59"/>
      <c r="E503" s="68"/>
      <c r="F503" s="95"/>
      <c r="G503" s="21"/>
    </row>
    <row r="504" spans="2:7" s="32" customFormat="1" x14ac:dyDescent="0.25">
      <c r="B504" s="39"/>
      <c r="D504" s="59"/>
      <c r="E504" s="68"/>
      <c r="F504" s="95"/>
      <c r="G504" s="21"/>
    </row>
    <row r="505" spans="2:7" s="32" customFormat="1" x14ac:dyDescent="0.25">
      <c r="B505" s="39"/>
      <c r="D505" s="59"/>
      <c r="E505" s="68"/>
      <c r="F505" s="95"/>
      <c r="G505" s="21"/>
    </row>
    <row r="506" spans="2:7" s="32" customFormat="1" x14ac:dyDescent="0.25">
      <c r="B506" s="39"/>
      <c r="D506" s="59"/>
      <c r="E506" s="68"/>
      <c r="F506" s="95"/>
      <c r="G506" s="21"/>
    </row>
    <row r="507" spans="2:7" s="32" customFormat="1" x14ac:dyDescent="0.25">
      <c r="B507" s="39"/>
      <c r="D507" s="59"/>
      <c r="E507" s="68"/>
      <c r="F507" s="95"/>
      <c r="G507" s="21"/>
    </row>
    <row r="508" spans="2:7" s="32" customFormat="1" x14ac:dyDescent="0.25">
      <c r="B508" s="39"/>
      <c r="D508" s="59"/>
      <c r="E508" s="68"/>
      <c r="F508" s="95"/>
      <c r="G508" s="21"/>
    </row>
    <row r="509" spans="2:7" s="32" customFormat="1" x14ac:dyDescent="0.25">
      <c r="B509" s="39"/>
      <c r="D509" s="59"/>
      <c r="E509" s="68"/>
      <c r="F509" s="95"/>
      <c r="G509" s="21"/>
    </row>
    <row r="510" spans="2:7" s="32" customFormat="1" x14ac:dyDescent="0.25">
      <c r="B510" s="39"/>
      <c r="D510" s="59"/>
      <c r="E510" s="68"/>
      <c r="F510" s="95"/>
      <c r="G510" s="21"/>
    </row>
    <row r="511" spans="2:7" s="32" customFormat="1" x14ac:dyDescent="0.25">
      <c r="B511" s="39"/>
      <c r="D511" s="59"/>
      <c r="E511" s="68"/>
      <c r="F511" s="95"/>
      <c r="G511" s="21"/>
    </row>
    <row r="512" spans="2:7" s="32" customFormat="1" x14ac:dyDescent="0.25">
      <c r="B512" s="39"/>
      <c r="D512" s="59"/>
      <c r="E512" s="68"/>
      <c r="F512" s="95"/>
      <c r="G512" s="21"/>
    </row>
    <row r="513" spans="2:7" s="32" customFormat="1" x14ac:dyDescent="0.25">
      <c r="B513" s="39"/>
      <c r="D513" s="59"/>
      <c r="E513" s="68"/>
      <c r="F513" s="95"/>
      <c r="G513" s="21"/>
    </row>
    <row r="514" spans="2:7" s="32" customFormat="1" x14ac:dyDescent="0.25">
      <c r="B514" s="39"/>
      <c r="D514" s="59"/>
      <c r="E514" s="68"/>
      <c r="F514" s="95"/>
      <c r="G514" s="21"/>
    </row>
    <row r="515" spans="2:7" s="32" customFormat="1" x14ac:dyDescent="0.25">
      <c r="B515" s="39"/>
      <c r="D515" s="59"/>
      <c r="E515" s="68"/>
      <c r="F515" s="95"/>
      <c r="G515" s="21"/>
    </row>
    <row r="516" spans="2:7" s="32" customFormat="1" x14ac:dyDescent="0.25">
      <c r="B516" s="39"/>
      <c r="D516" s="59"/>
      <c r="E516" s="68"/>
      <c r="F516" s="95"/>
      <c r="G516" s="21"/>
    </row>
    <row r="517" spans="2:7" s="32" customFormat="1" x14ac:dyDescent="0.25">
      <c r="B517" s="39"/>
      <c r="D517" s="59"/>
      <c r="E517" s="68"/>
      <c r="F517" s="95"/>
      <c r="G517" s="21"/>
    </row>
    <row r="518" spans="2:7" s="32" customFormat="1" x14ac:dyDescent="0.25">
      <c r="B518" s="39"/>
      <c r="D518" s="59"/>
      <c r="E518" s="68"/>
      <c r="F518" s="95"/>
      <c r="G518" s="21"/>
    </row>
    <row r="519" spans="2:7" s="32" customFormat="1" x14ac:dyDescent="0.25">
      <c r="B519" s="39"/>
      <c r="D519" s="59"/>
      <c r="E519" s="68"/>
      <c r="F519" s="95"/>
      <c r="G519" s="21"/>
    </row>
    <row r="520" spans="2:7" s="32" customFormat="1" x14ac:dyDescent="0.25">
      <c r="B520" s="39"/>
      <c r="D520" s="59"/>
      <c r="E520" s="68"/>
      <c r="F520" s="95"/>
      <c r="G520" s="21"/>
    </row>
    <row r="521" spans="2:7" s="32" customFormat="1" x14ac:dyDescent="0.25">
      <c r="B521" s="39"/>
      <c r="D521" s="59"/>
      <c r="E521" s="68"/>
      <c r="F521" s="95"/>
      <c r="G521" s="21"/>
    </row>
    <row r="522" spans="2:7" s="32" customFormat="1" x14ac:dyDescent="0.25">
      <c r="B522" s="39"/>
      <c r="D522" s="59"/>
      <c r="E522" s="68"/>
      <c r="F522" s="95"/>
      <c r="G522" s="21"/>
    </row>
    <row r="523" spans="2:7" s="32" customFormat="1" x14ac:dyDescent="0.25">
      <c r="B523" s="39"/>
      <c r="D523" s="59"/>
      <c r="E523" s="68"/>
      <c r="F523" s="95"/>
      <c r="G523" s="21"/>
    </row>
    <row r="524" spans="2:7" s="32" customFormat="1" x14ac:dyDescent="0.25">
      <c r="B524" s="39"/>
      <c r="D524" s="59"/>
      <c r="E524" s="68"/>
      <c r="F524" s="95"/>
      <c r="G524" s="21"/>
    </row>
    <row r="525" spans="2:7" s="32" customFormat="1" x14ac:dyDescent="0.25">
      <c r="B525" s="39"/>
      <c r="D525" s="59"/>
      <c r="E525" s="68"/>
      <c r="F525" s="95"/>
      <c r="G525" s="21"/>
    </row>
    <row r="526" spans="2:7" s="32" customFormat="1" x14ac:dyDescent="0.25">
      <c r="B526" s="39"/>
      <c r="D526" s="59"/>
      <c r="E526" s="68"/>
      <c r="F526" s="95"/>
      <c r="G526" s="21"/>
    </row>
    <row r="527" spans="2:7" s="32" customFormat="1" x14ac:dyDescent="0.25">
      <c r="B527" s="39"/>
      <c r="D527" s="59"/>
      <c r="E527" s="68"/>
      <c r="F527" s="95"/>
      <c r="G527" s="21"/>
    </row>
    <row r="528" spans="2:7" s="32" customFormat="1" x14ac:dyDescent="0.25">
      <c r="B528" s="39"/>
      <c r="D528" s="59"/>
      <c r="E528" s="68"/>
      <c r="F528" s="95"/>
      <c r="G528" s="21"/>
    </row>
    <row r="529" spans="2:7" s="32" customFormat="1" x14ac:dyDescent="0.25">
      <c r="B529" s="39"/>
      <c r="D529" s="59"/>
      <c r="E529" s="68"/>
      <c r="F529" s="95"/>
      <c r="G529" s="21"/>
    </row>
    <row r="530" spans="2:7" s="32" customFormat="1" x14ac:dyDescent="0.25">
      <c r="B530" s="39"/>
      <c r="D530" s="59"/>
      <c r="E530" s="68"/>
      <c r="F530" s="95"/>
      <c r="G530" s="21"/>
    </row>
    <row r="531" spans="2:7" s="32" customFormat="1" x14ac:dyDescent="0.25">
      <c r="B531" s="39"/>
      <c r="D531" s="59"/>
      <c r="E531" s="68"/>
      <c r="F531" s="95"/>
      <c r="G531" s="21"/>
    </row>
    <row r="532" spans="2:7" s="32" customFormat="1" x14ac:dyDescent="0.25">
      <c r="B532" s="39"/>
      <c r="D532" s="59"/>
      <c r="E532" s="68"/>
      <c r="F532" s="95"/>
      <c r="G532" s="21"/>
    </row>
    <row r="533" spans="2:7" s="32" customFormat="1" x14ac:dyDescent="0.25">
      <c r="B533" s="39"/>
      <c r="D533" s="59"/>
      <c r="E533" s="68"/>
      <c r="F533" s="95"/>
      <c r="G533" s="21"/>
    </row>
    <row r="534" spans="2:7" s="32" customFormat="1" x14ac:dyDescent="0.25">
      <c r="B534" s="39"/>
      <c r="D534" s="59"/>
      <c r="E534" s="68"/>
      <c r="F534" s="95"/>
      <c r="G534" s="21"/>
    </row>
    <row r="535" spans="2:7" s="32" customFormat="1" x14ac:dyDescent="0.25">
      <c r="B535" s="39"/>
      <c r="D535" s="59"/>
      <c r="E535" s="68"/>
      <c r="F535" s="95"/>
      <c r="G535" s="21"/>
    </row>
    <row r="536" spans="2:7" s="32" customFormat="1" x14ac:dyDescent="0.25">
      <c r="B536" s="39"/>
      <c r="D536" s="59"/>
      <c r="E536" s="68"/>
      <c r="F536" s="95"/>
      <c r="G536" s="21"/>
    </row>
    <row r="537" spans="2:7" s="32" customFormat="1" x14ac:dyDescent="0.25">
      <c r="B537" s="39"/>
      <c r="D537" s="59"/>
      <c r="E537" s="68"/>
      <c r="F537" s="95"/>
      <c r="G537" s="21"/>
    </row>
    <row r="538" spans="2:7" s="32" customFormat="1" x14ac:dyDescent="0.25">
      <c r="B538" s="39"/>
      <c r="D538" s="59"/>
      <c r="E538" s="68"/>
      <c r="F538" s="95"/>
      <c r="G538" s="21"/>
    </row>
    <row r="539" spans="2:7" s="32" customFormat="1" x14ac:dyDescent="0.25">
      <c r="B539" s="39"/>
      <c r="D539" s="59"/>
      <c r="E539" s="68"/>
      <c r="F539" s="95"/>
      <c r="G539" s="21"/>
    </row>
    <row r="540" spans="2:7" s="32" customFormat="1" x14ac:dyDescent="0.25">
      <c r="B540" s="39"/>
      <c r="D540" s="59"/>
      <c r="E540" s="68"/>
      <c r="F540" s="95"/>
      <c r="G540" s="21"/>
    </row>
    <row r="541" spans="2:7" s="32" customFormat="1" x14ac:dyDescent="0.25">
      <c r="B541" s="39"/>
      <c r="D541" s="59"/>
      <c r="E541" s="68"/>
      <c r="F541" s="95"/>
      <c r="G541" s="21"/>
    </row>
    <row r="542" spans="2:7" s="32" customFormat="1" x14ac:dyDescent="0.25">
      <c r="B542" s="39"/>
      <c r="D542" s="59"/>
      <c r="E542" s="68"/>
      <c r="F542" s="95"/>
      <c r="G542" s="21"/>
    </row>
    <row r="543" spans="2:7" s="32" customFormat="1" x14ac:dyDescent="0.25">
      <c r="B543" s="39"/>
      <c r="D543" s="59"/>
      <c r="E543" s="68"/>
      <c r="F543" s="95"/>
      <c r="G543" s="21"/>
    </row>
    <row r="544" spans="2:7" s="32" customFormat="1" x14ac:dyDescent="0.25">
      <c r="B544" s="39"/>
      <c r="D544" s="59"/>
      <c r="E544" s="68"/>
      <c r="F544" s="95"/>
      <c r="G544" s="21"/>
    </row>
    <row r="545" spans="2:7" s="32" customFormat="1" x14ac:dyDescent="0.25">
      <c r="B545" s="39"/>
      <c r="D545" s="59"/>
      <c r="E545" s="68"/>
      <c r="F545" s="95"/>
      <c r="G545" s="21"/>
    </row>
    <row r="546" spans="2:7" s="32" customFormat="1" x14ac:dyDescent="0.25">
      <c r="B546" s="39"/>
      <c r="D546" s="59"/>
      <c r="E546" s="68"/>
      <c r="F546" s="95"/>
      <c r="G546" s="21"/>
    </row>
    <row r="547" spans="2:7" s="32" customFormat="1" x14ac:dyDescent="0.25">
      <c r="B547" s="39"/>
      <c r="D547" s="59"/>
      <c r="E547" s="68"/>
      <c r="F547" s="95"/>
      <c r="G547" s="21"/>
    </row>
    <row r="548" spans="2:7" s="32" customFormat="1" x14ac:dyDescent="0.25">
      <c r="B548" s="39"/>
      <c r="D548" s="59"/>
      <c r="E548" s="68"/>
      <c r="F548" s="95"/>
      <c r="G548" s="21"/>
    </row>
    <row r="549" spans="2:7" s="32" customFormat="1" x14ac:dyDescent="0.25">
      <c r="B549" s="39"/>
      <c r="D549" s="59"/>
      <c r="E549" s="68"/>
      <c r="F549" s="95"/>
      <c r="G549" s="21"/>
    </row>
    <row r="550" spans="2:7" s="32" customFormat="1" x14ac:dyDescent="0.25">
      <c r="B550" s="39"/>
      <c r="D550" s="59"/>
      <c r="E550" s="68"/>
      <c r="F550" s="95"/>
      <c r="G550" s="21"/>
    </row>
    <row r="551" spans="2:7" s="32" customFormat="1" x14ac:dyDescent="0.25">
      <c r="B551" s="39"/>
      <c r="D551" s="59"/>
      <c r="E551" s="68"/>
      <c r="F551" s="95"/>
      <c r="G551" s="21"/>
    </row>
    <row r="552" spans="2:7" s="32" customFormat="1" x14ac:dyDescent="0.25">
      <c r="B552" s="39"/>
      <c r="D552" s="59"/>
      <c r="E552" s="68"/>
      <c r="F552" s="95"/>
      <c r="G552" s="21"/>
    </row>
    <row r="553" spans="2:7" s="32" customFormat="1" x14ac:dyDescent="0.25">
      <c r="B553" s="39"/>
      <c r="D553" s="59"/>
      <c r="E553" s="68"/>
      <c r="F553" s="95"/>
      <c r="G553" s="21"/>
    </row>
    <row r="554" spans="2:7" s="32" customFormat="1" x14ac:dyDescent="0.25">
      <c r="B554" s="39"/>
      <c r="D554" s="59"/>
      <c r="E554" s="68"/>
      <c r="F554" s="95"/>
      <c r="G554" s="21"/>
    </row>
    <row r="555" spans="2:7" s="32" customFormat="1" x14ac:dyDescent="0.25">
      <c r="B555" s="39"/>
      <c r="D555" s="59"/>
      <c r="E555" s="68"/>
      <c r="F555" s="95"/>
      <c r="G555" s="21"/>
    </row>
    <row r="556" spans="2:7" s="32" customFormat="1" x14ac:dyDescent="0.25">
      <c r="B556" s="39"/>
      <c r="D556" s="59"/>
      <c r="E556" s="68"/>
      <c r="F556" s="95"/>
      <c r="G556" s="21"/>
    </row>
    <row r="557" spans="2:7" s="32" customFormat="1" x14ac:dyDescent="0.25">
      <c r="B557" s="39"/>
      <c r="D557" s="59"/>
      <c r="E557" s="68"/>
      <c r="F557" s="95"/>
      <c r="G557" s="21"/>
    </row>
    <row r="558" spans="2:7" s="32" customFormat="1" x14ac:dyDescent="0.25">
      <c r="B558" s="39"/>
      <c r="D558" s="59"/>
      <c r="E558" s="68"/>
      <c r="F558" s="95"/>
      <c r="G558" s="21"/>
    </row>
    <row r="559" spans="2:7" s="32" customFormat="1" x14ac:dyDescent="0.25">
      <c r="B559" s="39"/>
      <c r="D559" s="59"/>
      <c r="E559" s="68"/>
      <c r="F559" s="95"/>
      <c r="G559" s="21"/>
    </row>
    <row r="560" spans="2:7" s="32" customFormat="1" x14ac:dyDescent="0.25">
      <c r="B560" s="39"/>
      <c r="D560" s="59"/>
      <c r="E560" s="68"/>
      <c r="F560" s="95"/>
      <c r="G560" s="21"/>
    </row>
    <row r="561" spans="2:7" s="32" customFormat="1" x14ac:dyDescent="0.25">
      <c r="B561" s="39"/>
      <c r="D561" s="59"/>
      <c r="E561" s="68"/>
      <c r="F561" s="95"/>
      <c r="G561" s="21"/>
    </row>
    <row r="562" spans="2:7" s="32" customFormat="1" x14ac:dyDescent="0.25">
      <c r="B562" s="39"/>
      <c r="D562" s="59"/>
      <c r="E562" s="68"/>
      <c r="F562" s="95"/>
      <c r="G562" s="21"/>
    </row>
    <row r="563" spans="2:7" s="32" customFormat="1" x14ac:dyDescent="0.25">
      <c r="B563" s="39"/>
      <c r="D563" s="59"/>
      <c r="E563" s="68"/>
      <c r="F563" s="95"/>
      <c r="G563" s="21"/>
    </row>
    <row r="564" spans="2:7" s="32" customFormat="1" x14ac:dyDescent="0.25">
      <c r="B564" s="39"/>
      <c r="D564" s="59"/>
      <c r="E564" s="68"/>
      <c r="F564" s="95"/>
      <c r="G564" s="21"/>
    </row>
    <row r="565" spans="2:7" s="32" customFormat="1" x14ac:dyDescent="0.25">
      <c r="B565" s="39"/>
      <c r="D565" s="59"/>
      <c r="E565" s="68"/>
      <c r="F565" s="95"/>
      <c r="G565" s="21"/>
    </row>
    <row r="566" spans="2:7" s="32" customFormat="1" x14ac:dyDescent="0.25">
      <c r="B566" s="39"/>
      <c r="D566" s="59"/>
      <c r="E566" s="68"/>
      <c r="F566" s="95"/>
      <c r="G566" s="21"/>
    </row>
    <row r="567" spans="2:7" s="32" customFormat="1" x14ac:dyDescent="0.25">
      <c r="B567" s="39"/>
      <c r="D567" s="59"/>
      <c r="E567" s="68"/>
      <c r="F567" s="95"/>
      <c r="G567" s="21"/>
    </row>
    <row r="568" spans="2:7" s="32" customFormat="1" x14ac:dyDescent="0.25">
      <c r="B568" s="39"/>
      <c r="D568" s="59"/>
      <c r="E568" s="68"/>
      <c r="F568" s="95"/>
      <c r="G568" s="21"/>
    </row>
    <row r="569" spans="2:7" s="32" customFormat="1" x14ac:dyDescent="0.25">
      <c r="B569" s="39"/>
      <c r="D569" s="59"/>
      <c r="E569" s="68"/>
      <c r="F569" s="95"/>
      <c r="G569" s="21"/>
    </row>
    <row r="570" spans="2:7" s="32" customFormat="1" x14ac:dyDescent="0.25">
      <c r="B570" s="39"/>
      <c r="D570" s="59"/>
      <c r="E570" s="68"/>
      <c r="F570" s="95"/>
      <c r="G570" s="21"/>
    </row>
    <row r="571" spans="2:7" s="32" customFormat="1" x14ac:dyDescent="0.25">
      <c r="B571" s="39"/>
      <c r="D571" s="59"/>
      <c r="E571" s="68"/>
      <c r="F571" s="95"/>
      <c r="G571" s="21"/>
    </row>
    <row r="572" spans="2:7" s="32" customFormat="1" x14ac:dyDescent="0.25">
      <c r="B572" s="39"/>
      <c r="D572" s="59"/>
      <c r="E572" s="68"/>
      <c r="F572" s="95"/>
      <c r="G572" s="21"/>
    </row>
    <row r="573" spans="2:7" s="32" customFormat="1" x14ac:dyDescent="0.25">
      <c r="B573" s="39"/>
      <c r="D573" s="59"/>
      <c r="E573" s="68"/>
      <c r="F573" s="95"/>
      <c r="G573" s="21"/>
    </row>
    <row r="574" spans="2:7" s="32" customFormat="1" x14ac:dyDescent="0.25">
      <c r="B574" s="39"/>
      <c r="D574" s="59"/>
      <c r="E574" s="68"/>
      <c r="F574" s="95"/>
      <c r="G574" s="21"/>
    </row>
    <row r="575" spans="2:7" s="32" customFormat="1" x14ac:dyDescent="0.25">
      <c r="B575" s="39"/>
      <c r="D575" s="59"/>
      <c r="E575" s="68"/>
      <c r="F575" s="95"/>
      <c r="G575" s="21"/>
    </row>
    <row r="576" spans="2:7" s="32" customFormat="1" x14ac:dyDescent="0.25">
      <c r="B576" s="39"/>
      <c r="D576" s="59"/>
      <c r="E576" s="68"/>
      <c r="F576" s="95"/>
      <c r="G576" s="21"/>
    </row>
    <row r="577" spans="2:7" s="32" customFormat="1" x14ac:dyDescent="0.25">
      <c r="B577" s="39"/>
      <c r="D577" s="59"/>
      <c r="E577" s="68"/>
      <c r="F577" s="95"/>
      <c r="G577" s="21"/>
    </row>
    <row r="578" spans="2:7" s="32" customFormat="1" x14ac:dyDescent="0.25">
      <c r="B578" s="39"/>
      <c r="D578" s="59"/>
      <c r="E578" s="68"/>
      <c r="F578" s="95"/>
      <c r="G578" s="21"/>
    </row>
    <row r="579" spans="2:7" s="32" customFormat="1" x14ac:dyDescent="0.25">
      <c r="B579" s="39"/>
      <c r="D579" s="59"/>
      <c r="E579" s="68"/>
      <c r="F579" s="95"/>
      <c r="G579" s="21"/>
    </row>
    <row r="580" spans="2:7" s="32" customFormat="1" x14ac:dyDescent="0.25">
      <c r="B580" s="39"/>
      <c r="D580" s="59"/>
      <c r="E580" s="68"/>
      <c r="F580" s="95"/>
      <c r="G580" s="21"/>
    </row>
    <row r="581" spans="2:7" s="32" customFormat="1" x14ac:dyDescent="0.25">
      <c r="B581" s="39"/>
      <c r="D581" s="59"/>
      <c r="E581" s="68"/>
      <c r="F581" s="95"/>
      <c r="G581" s="21"/>
    </row>
    <row r="582" spans="2:7" s="32" customFormat="1" x14ac:dyDescent="0.25">
      <c r="B582" s="39"/>
      <c r="D582" s="59"/>
      <c r="E582" s="68"/>
      <c r="F582" s="95"/>
      <c r="G582" s="21"/>
    </row>
    <row r="583" spans="2:7" s="32" customFormat="1" x14ac:dyDescent="0.25">
      <c r="B583" s="39"/>
      <c r="D583" s="59"/>
      <c r="E583" s="68"/>
      <c r="F583" s="95"/>
      <c r="G583" s="21"/>
    </row>
    <row r="584" spans="2:7" s="32" customFormat="1" x14ac:dyDescent="0.25">
      <c r="B584" s="39"/>
      <c r="D584" s="59"/>
      <c r="E584" s="68"/>
      <c r="F584" s="95"/>
      <c r="G584" s="21"/>
    </row>
    <row r="585" spans="2:7" s="32" customFormat="1" x14ac:dyDescent="0.25">
      <c r="B585" s="39"/>
      <c r="D585" s="59"/>
      <c r="E585" s="68"/>
      <c r="F585" s="95"/>
      <c r="G585" s="21"/>
    </row>
    <row r="586" spans="2:7" s="32" customFormat="1" x14ac:dyDescent="0.25">
      <c r="B586" s="39"/>
      <c r="D586" s="59"/>
      <c r="E586" s="68"/>
      <c r="F586" s="95"/>
      <c r="G586" s="21"/>
    </row>
    <row r="587" spans="2:7" s="32" customFormat="1" x14ac:dyDescent="0.25">
      <c r="B587" s="39"/>
      <c r="D587" s="59"/>
      <c r="E587" s="68"/>
      <c r="F587" s="95"/>
      <c r="G587" s="21"/>
    </row>
    <row r="588" spans="2:7" s="32" customFormat="1" x14ac:dyDescent="0.25">
      <c r="B588" s="39"/>
      <c r="D588" s="59"/>
      <c r="E588" s="68"/>
      <c r="F588" s="95"/>
      <c r="G588" s="21"/>
    </row>
    <row r="589" spans="2:7" s="32" customFormat="1" x14ac:dyDescent="0.25">
      <c r="B589" s="39"/>
      <c r="D589" s="59"/>
      <c r="E589" s="68"/>
      <c r="F589" s="95"/>
      <c r="G589" s="21"/>
    </row>
    <row r="590" spans="2:7" s="32" customFormat="1" x14ac:dyDescent="0.25">
      <c r="B590" s="39"/>
      <c r="D590" s="59"/>
      <c r="E590" s="68"/>
      <c r="F590" s="95"/>
      <c r="G590" s="21"/>
    </row>
    <row r="591" spans="2:7" s="32" customFormat="1" x14ac:dyDescent="0.25">
      <c r="B591" s="39"/>
      <c r="D591" s="59"/>
      <c r="E591" s="68"/>
      <c r="F591" s="95"/>
      <c r="G591" s="21"/>
    </row>
    <row r="592" spans="2:7" s="32" customFormat="1" x14ac:dyDescent="0.25">
      <c r="B592" s="39"/>
      <c r="D592" s="59"/>
      <c r="E592" s="68"/>
      <c r="F592" s="95"/>
      <c r="G592" s="21"/>
    </row>
    <row r="593" spans="2:7" s="32" customFormat="1" x14ac:dyDescent="0.25">
      <c r="B593" s="39"/>
      <c r="D593" s="59"/>
      <c r="E593" s="68"/>
      <c r="F593" s="95"/>
      <c r="G593" s="21"/>
    </row>
    <row r="594" spans="2:7" s="32" customFormat="1" x14ac:dyDescent="0.25">
      <c r="B594" s="39"/>
      <c r="D594" s="59"/>
      <c r="E594" s="68"/>
      <c r="F594" s="95"/>
      <c r="G594" s="21"/>
    </row>
    <row r="595" spans="2:7" s="32" customFormat="1" x14ac:dyDescent="0.25">
      <c r="B595" s="39"/>
      <c r="D595" s="59"/>
      <c r="E595" s="68"/>
      <c r="F595" s="95"/>
      <c r="G595" s="21"/>
    </row>
    <row r="596" spans="2:7" s="32" customFormat="1" x14ac:dyDescent="0.25">
      <c r="B596" s="39"/>
      <c r="D596" s="59"/>
      <c r="E596" s="68"/>
      <c r="F596" s="95"/>
      <c r="G596" s="21"/>
    </row>
    <row r="597" spans="2:7" s="32" customFormat="1" x14ac:dyDescent="0.25">
      <c r="B597" s="39"/>
      <c r="D597" s="59"/>
      <c r="E597" s="68"/>
      <c r="F597" s="95"/>
      <c r="G597" s="21"/>
    </row>
    <row r="598" spans="2:7" s="32" customFormat="1" x14ac:dyDescent="0.25">
      <c r="B598" s="39"/>
      <c r="D598" s="59"/>
      <c r="E598" s="68"/>
      <c r="F598" s="95"/>
      <c r="G598" s="21"/>
    </row>
    <row r="599" spans="2:7" s="32" customFormat="1" x14ac:dyDescent="0.25">
      <c r="B599" s="39"/>
      <c r="D599" s="59"/>
      <c r="E599" s="68"/>
      <c r="F599" s="95"/>
      <c r="G599" s="21"/>
    </row>
    <row r="600" spans="2:7" s="32" customFormat="1" x14ac:dyDescent="0.25">
      <c r="B600" s="39"/>
      <c r="D600" s="59"/>
      <c r="E600" s="68"/>
      <c r="F600" s="95"/>
      <c r="G600" s="21"/>
    </row>
    <row r="601" spans="2:7" s="32" customFormat="1" x14ac:dyDescent="0.25">
      <c r="B601" s="39"/>
      <c r="D601" s="59"/>
      <c r="E601" s="68"/>
      <c r="F601" s="95"/>
      <c r="G601" s="21"/>
    </row>
    <row r="602" spans="2:7" s="32" customFormat="1" x14ac:dyDescent="0.25">
      <c r="B602" s="39"/>
      <c r="D602" s="59"/>
      <c r="E602" s="68"/>
      <c r="F602" s="95"/>
      <c r="G602" s="21"/>
    </row>
    <row r="603" spans="2:7" s="32" customFormat="1" x14ac:dyDescent="0.25">
      <c r="B603" s="39"/>
      <c r="D603" s="59"/>
      <c r="E603" s="68"/>
      <c r="F603" s="95"/>
      <c r="G603" s="21"/>
    </row>
    <row r="604" spans="2:7" s="32" customFormat="1" x14ac:dyDescent="0.25">
      <c r="B604" s="39"/>
      <c r="D604" s="59"/>
      <c r="E604" s="68"/>
      <c r="F604" s="95"/>
      <c r="G604" s="21"/>
    </row>
    <row r="605" spans="2:7" s="32" customFormat="1" x14ac:dyDescent="0.25">
      <c r="B605" s="39"/>
      <c r="D605" s="59"/>
      <c r="E605" s="68"/>
      <c r="F605" s="95"/>
      <c r="G605" s="21"/>
    </row>
    <row r="606" spans="2:7" s="32" customFormat="1" x14ac:dyDescent="0.25">
      <c r="B606" s="39"/>
      <c r="D606" s="59"/>
      <c r="E606" s="68"/>
      <c r="F606" s="95"/>
      <c r="G606" s="21"/>
    </row>
    <row r="607" spans="2:7" s="32" customFormat="1" x14ac:dyDescent="0.25">
      <c r="B607" s="39"/>
      <c r="D607" s="59"/>
      <c r="E607" s="68"/>
      <c r="F607" s="95"/>
      <c r="G607" s="21"/>
    </row>
    <row r="608" spans="2:7" s="32" customFormat="1" x14ac:dyDescent="0.25">
      <c r="B608" s="39"/>
      <c r="D608" s="59"/>
      <c r="E608" s="68"/>
      <c r="F608" s="95"/>
      <c r="G608" s="21"/>
    </row>
    <row r="609" spans="2:7" s="32" customFormat="1" x14ac:dyDescent="0.25">
      <c r="B609" s="39"/>
      <c r="D609" s="59"/>
      <c r="E609" s="68"/>
      <c r="F609" s="95"/>
      <c r="G609" s="21"/>
    </row>
    <row r="610" spans="2:7" s="32" customFormat="1" x14ac:dyDescent="0.25">
      <c r="B610" s="39"/>
      <c r="D610" s="59"/>
      <c r="E610" s="68"/>
      <c r="F610" s="95"/>
      <c r="G610" s="21"/>
    </row>
    <row r="611" spans="2:7" s="32" customFormat="1" x14ac:dyDescent="0.25">
      <c r="B611" s="39"/>
      <c r="D611" s="59"/>
      <c r="E611" s="68"/>
      <c r="F611" s="95"/>
      <c r="G611" s="21"/>
    </row>
    <row r="612" spans="2:7" s="32" customFormat="1" x14ac:dyDescent="0.25">
      <c r="B612" s="39"/>
      <c r="D612" s="59"/>
      <c r="E612" s="68"/>
      <c r="F612" s="95"/>
      <c r="G612" s="21"/>
    </row>
    <row r="613" spans="2:7" s="32" customFormat="1" x14ac:dyDescent="0.25">
      <c r="B613" s="39"/>
      <c r="D613" s="59"/>
      <c r="E613" s="68"/>
      <c r="F613" s="95"/>
      <c r="G613" s="21"/>
    </row>
    <row r="614" spans="2:7" s="32" customFormat="1" x14ac:dyDescent="0.25">
      <c r="B614" s="39"/>
      <c r="D614" s="59"/>
      <c r="E614" s="68"/>
      <c r="F614" s="95"/>
      <c r="G614" s="21"/>
    </row>
    <row r="615" spans="2:7" s="32" customFormat="1" x14ac:dyDescent="0.25">
      <c r="B615" s="39"/>
      <c r="D615" s="59"/>
      <c r="E615" s="68"/>
      <c r="F615" s="95"/>
      <c r="G615" s="21"/>
    </row>
    <row r="616" spans="2:7" s="32" customFormat="1" x14ac:dyDescent="0.25">
      <c r="B616" s="39"/>
      <c r="D616" s="59"/>
      <c r="E616" s="68"/>
      <c r="F616" s="95"/>
      <c r="G616" s="21"/>
    </row>
    <row r="617" spans="2:7" s="32" customFormat="1" x14ac:dyDescent="0.25">
      <c r="B617" s="39"/>
      <c r="D617" s="59"/>
      <c r="E617" s="68"/>
      <c r="F617" s="95"/>
      <c r="G617" s="21"/>
    </row>
    <row r="618" spans="2:7" s="32" customFormat="1" x14ac:dyDescent="0.25">
      <c r="B618" s="39"/>
      <c r="D618" s="59"/>
      <c r="E618" s="68"/>
      <c r="F618" s="95"/>
      <c r="G618" s="21"/>
    </row>
    <row r="619" spans="2:7" s="32" customFormat="1" x14ac:dyDescent="0.25">
      <c r="B619" s="39"/>
      <c r="D619" s="59"/>
      <c r="E619" s="68"/>
      <c r="F619" s="95"/>
      <c r="G619" s="21"/>
    </row>
    <row r="620" spans="2:7" s="32" customFormat="1" x14ac:dyDescent="0.25">
      <c r="B620" s="39"/>
      <c r="D620" s="59"/>
      <c r="E620" s="68"/>
      <c r="F620" s="95"/>
      <c r="G620" s="21"/>
    </row>
    <row r="621" spans="2:7" s="32" customFormat="1" x14ac:dyDescent="0.25">
      <c r="B621" s="39"/>
      <c r="D621" s="59"/>
      <c r="E621" s="68"/>
      <c r="F621" s="95"/>
      <c r="G621" s="21"/>
    </row>
    <row r="622" spans="2:7" s="32" customFormat="1" x14ac:dyDescent="0.25">
      <c r="B622" s="39"/>
      <c r="D622" s="59"/>
      <c r="E622" s="68"/>
      <c r="F622" s="95"/>
      <c r="G622" s="21"/>
    </row>
    <row r="623" spans="2:7" s="32" customFormat="1" x14ac:dyDescent="0.25">
      <c r="B623" s="39"/>
      <c r="D623" s="59"/>
      <c r="E623" s="68"/>
      <c r="F623" s="95"/>
      <c r="G623" s="21"/>
    </row>
    <row r="624" spans="2:7" s="32" customFormat="1" x14ac:dyDescent="0.25">
      <c r="B624" s="39"/>
      <c r="D624" s="59"/>
      <c r="E624" s="68"/>
      <c r="F624" s="95"/>
      <c r="G624" s="21"/>
    </row>
    <row r="625" spans="2:7" s="32" customFormat="1" x14ac:dyDescent="0.25">
      <c r="B625" s="39"/>
      <c r="D625" s="59"/>
      <c r="E625" s="68"/>
      <c r="F625" s="95"/>
      <c r="G625" s="21"/>
    </row>
    <row r="626" spans="2:7" s="32" customFormat="1" x14ac:dyDescent="0.25">
      <c r="B626" s="39"/>
      <c r="D626" s="59"/>
      <c r="E626" s="68"/>
      <c r="F626" s="95"/>
      <c r="G626" s="21"/>
    </row>
    <row r="627" spans="2:7" s="32" customFormat="1" x14ac:dyDescent="0.25">
      <c r="B627" s="39"/>
      <c r="D627" s="59"/>
      <c r="E627" s="68"/>
      <c r="F627" s="95"/>
      <c r="G627" s="21"/>
    </row>
    <row r="628" spans="2:7" s="32" customFormat="1" x14ac:dyDescent="0.25">
      <c r="B628" s="39"/>
      <c r="D628" s="59"/>
      <c r="E628" s="68"/>
      <c r="F628" s="95"/>
      <c r="G628" s="21"/>
    </row>
    <row r="629" spans="2:7" s="32" customFormat="1" x14ac:dyDescent="0.25">
      <c r="B629" s="39"/>
      <c r="D629" s="59"/>
      <c r="E629" s="68"/>
      <c r="F629" s="95"/>
      <c r="G629" s="21"/>
    </row>
    <row r="630" spans="2:7" s="32" customFormat="1" x14ac:dyDescent="0.25">
      <c r="B630" s="39"/>
      <c r="D630" s="59"/>
      <c r="E630" s="68"/>
      <c r="F630" s="95"/>
      <c r="G630" s="21"/>
    </row>
    <row r="631" spans="2:7" s="32" customFormat="1" x14ac:dyDescent="0.25">
      <c r="B631" s="39"/>
      <c r="D631" s="59"/>
      <c r="E631" s="68"/>
      <c r="F631" s="95"/>
      <c r="G631" s="21"/>
    </row>
    <row r="632" spans="2:7" s="32" customFormat="1" x14ac:dyDescent="0.25">
      <c r="B632" s="39"/>
      <c r="D632" s="59"/>
      <c r="E632" s="68"/>
      <c r="F632" s="95"/>
      <c r="G632" s="21"/>
    </row>
    <row r="633" spans="2:7" s="32" customFormat="1" x14ac:dyDescent="0.25">
      <c r="B633" s="39"/>
      <c r="D633" s="59"/>
      <c r="E633" s="68"/>
      <c r="F633" s="95"/>
      <c r="G633" s="21"/>
    </row>
    <row r="634" spans="2:7" s="32" customFormat="1" x14ac:dyDescent="0.25">
      <c r="B634" s="39"/>
      <c r="D634" s="59"/>
      <c r="E634" s="68"/>
      <c r="F634" s="95"/>
      <c r="G634" s="21"/>
    </row>
    <row r="635" spans="2:7" s="32" customFormat="1" x14ac:dyDescent="0.25">
      <c r="B635" s="39"/>
      <c r="D635" s="59"/>
      <c r="E635" s="68"/>
      <c r="F635" s="95"/>
      <c r="G635" s="21"/>
    </row>
    <row r="636" spans="2:7" s="32" customFormat="1" x14ac:dyDescent="0.25">
      <c r="B636" s="39"/>
      <c r="D636" s="59"/>
      <c r="E636" s="68"/>
      <c r="F636" s="95"/>
      <c r="G636" s="21"/>
    </row>
    <row r="637" spans="2:7" s="32" customFormat="1" x14ac:dyDescent="0.25">
      <c r="B637" s="39"/>
      <c r="D637" s="59"/>
      <c r="E637" s="68"/>
      <c r="F637" s="95"/>
      <c r="G637" s="21"/>
    </row>
    <row r="638" spans="2:7" s="32" customFormat="1" x14ac:dyDescent="0.25">
      <c r="B638" s="39"/>
      <c r="D638" s="59"/>
      <c r="E638" s="68"/>
      <c r="F638" s="95"/>
      <c r="G638" s="21"/>
    </row>
    <row r="639" spans="2:7" s="32" customFormat="1" x14ac:dyDescent="0.25">
      <c r="B639" s="39"/>
      <c r="D639" s="59"/>
      <c r="E639" s="68"/>
      <c r="F639" s="95"/>
      <c r="G639" s="21"/>
    </row>
    <row r="640" spans="2:7" s="32" customFormat="1" x14ac:dyDescent="0.25">
      <c r="B640" s="39"/>
      <c r="D640" s="59"/>
      <c r="E640" s="68"/>
      <c r="F640" s="95"/>
      <c r="G640" s="21"/>
    </row>
    <row r="641" spans="2:7" s="32" customFormat="1" x14ac:dyDescent="0.25">
      <c r="B641" s="39"/>
      <c r="D641" s="59"/>
      <c r="E641" s="68"/>
      <c r="F641" s="95"/>
      <c r="G641" s="21"/>
    </row>
    <row r="642" spans="2:7" s="32" customFormat="1" x14ac:dyDescent="0.25">
      <c r="B642" s="39"/>
      <c r="D642" s="59"/>
      <c r="E642" s="68"/>
      <c r="F642" s="95"/>
      <c r="G642" s="21"/>
    </row>
    <row r="643" spans="2:7" s="32" customFormat="1" x14ac:dyDescent="0.25">
      <c r="B643" s="39"/>
      <c r="D643" s="59"/>
      <c r="E643" s="68"/>
      <c r="F643" s="95"/>
      <c r="G643" s="21"/>
    </row>
    <row r="644" spans="2:7" s="32" customFormat="1" x14ac:dyDescent="0.25">
      <c r="B644" s="39"/>
      <c r="D644" s="59"/>
      <c r="E644" s="68"/>
      <c r="F644" s="95"/>
      <c r="G644" s="21"/>
    </row>
    <row r="645" spans="2:7" s="32" customFormat="1" x14ac:dyDescent="0.25">
      <c r="B645" s="39"/>
      <c r="D645" s="59"/>
      <c r="E645" s="68"/>
      <c r="F645" s="95"/>
      <c r="G645" s="21"/>
    </row>
    <row r="646" spans="2:7" s="32" customFormat="1" x14ac:dyDescent="0.25">
      <c r="B646" s="39"/>
      <c r="D646" s="59"/>
      <c r="E646" s="68"/>
      <c r="F646" s="95"/>
      <c r="G646" s="21"/>
    </row>
    <row r="647" spans="2:7" s="32" customFormat="1" x14ac:dyDescent="0.25">
      <c r="B647" s="39"/>
      <c r="D647" s="59"/>
      <c r="E647" s="68"/>
      <c r="F647" s="95"/>
      <c r="G647" s="21"/>
    </row>
    <row r="648" spans="2:7" s="32" customFormat="1" x14ac:dyDescent="0.25">
      <c r="B648" s="39"/>
      <c r="D648" s="59"/>
      <c r="E648" s="68"/>
      <c r="F648" s="95"/>
      <c r="G648" s="21"/>
    </row>
    <row r="649" spans="2:7" s="32" customFormat="1" x14ac:dyDescent="0.25">
      <c r="B649" s="39"/>
      <c r="D649" s="59"/>
      <c r="E649" s="68"/>
      <c r="F649" s="95"/>
      <c r="G649" s="21"/>
    </row>
    <row r="650" spans="2:7" s="32" customFormat="1" x14ac:dyDescent="0.25">
      <c r="B650" s="39"/>
      <c r="D650" s="59"/>
      <c r="E650" s="68"/>
      <c r="F650" s="95"/>
      <c r="G650" s="21"/>
    </row>
    <row r="651" spans="2:7" s="32" customFormat="1" x14ac:dyDescent="0.25">
      <c r="B651" s="39"/>
      <c r="D651" s="59"/>
      <c r="E651" s="68"/>
      <c r="F651" s="95"/>
      <c r="G651" s="21"/>
    </row>
    <row r="652" spans="2:7" s="32" customFormat="1" x14ac:dyDescent="0.25">
      <c r="B652" s="39"/>
      <c r="D652" s="59"/>
      <c r="E652" s="68"/>
      <c r="F652" s="95"/>
      <c r="G652" s="21"/>
    </row>
    <row r="653" spans="2:7" s="32" customFormat="1" x14ac:dyDescent="0.25">
      <c r="B653" s="39"/>
      <c r="D653" s="59"/>
      <c r="E653" s="68"/>
      <c r="F653" s="95"/>
      <c r="G653" s="21"/>
    </row>
    <row r="654" spans="2:7" s="32" customFormat="1" x14ac:dyDescent="0.25">
      <c r="B654" s="39"/>
      <c r="D654" s="59"/>
      <c r="E654" s="68"/>
      <c r="F654" s="95"/>
      <c r="G654" s="21"/>
    </row>
    <row r="655" spans="2:7" s="32" customFormat="1" x14ac:dyDescent="0.25">
      <c r="B655" s="39"/>
      <c r="D655" s="59"/>
      <c r="E655" s="68"/>
      <c r="F655" s="95"/>
      <c r="G655" s="21"/>
    </row>
    <row r="656" spans="2:7" s="32" customFormat="1" x14ac:dyDescent="0.25">
      <c r="B656" s="39"/>
      <c r="D656" s="59"/>
      <c r="E656" s="68"/>
      <c r="F656" s="95"/>
      <c r="G656" s="21"/>
    </row>
    <row r="657" spans="2:7" s="32" customFormat="1" x14ac:dyDescent="0.25">
      <c r="B657" s="39"/>
      <c r="D657" s="59"/>
      <c r="E657" s="68"/>
      <c r="F657" s="95"/>
      <c r="G657" s="21"/>
    </row>
    <row r="658" spans="2:7" s="32" customFormat="1" x14ac:dyDescent="0.25">
      <c r="B658" s="39"/>
      <c r="D658" s="59"/>
      <c r="E658" s="68"/>
      <c r="F658" s="95"/>
      <c r="G658" s="21"/>
    </row>
    <row r="659" spans="2:7" s="32" customFormat="1" x14ac:dyDescent="0.25">
      <c r="B659" s="39"/>
      <c r="D659" s="59"/>
      <c r="E659" s="68"/>
      <c r="F659" s="95"/>
      <c r="G659" s="21"/>
    </row>
    <row r="660" spans="2:7" s="32" customFormat="1" x14ac:dyDescent="0.25">
      <c r="B660" s="39"/>
      <c r="D660" s="59"/>
      <c r="E660" s="68"/>
      <c r="F660" s="95"/>
      <c r="G660" s="21"/>
    </row>
    <row r="661" spans="2:7" s="32" customFormat="1" x14ac:dyDescent="0.25">
      <c r="B661" s="39"/>
      <c r="D661" s="59"/>
      <c r="E661" s="68"/>
      <c r="F661" s="95"/>
      <c r="G661" s="21"/>
    </row>
    <row r="662" spans="2:7" s="32" customFormat="1" x14ac:dyDescent="0.25">
      <c r="B662" s="39"/>
      <c r="D662" s="59"/>
      <c r="E662" s="68"/>
      <c r="F662" s="95"/>
      <c r="G662" s="21"/>
    </row>
    <row r="663" spans="2:7" s="32" customFormat="1" x14ac:dyDescent="0.25">
      <c r="B663" s="39"/>
      <c r="D663" s="59"/>
      <c r="E663" s="68"/>
      <c r="F663" s="95"/>
      <c r="G663" s="21"/>
    </row>
    <row r="664" spans="2:7" s="32" customFormat="1" x14ac:dyDescent="0.25">
      <c r="B664" s="39"/>
      <c r="D664" s="59"/>
      <c r="E664" s="68"/>
      <c r="F664" s="95"/>
      <c r="G664" s="21"/>
    </row>
    <row r="665" spans="2:7" s="32" customFormat="1" x14ac:dyDescent="0.25">
      <c r="B665" s="39"/>
      <c r="D665" s="59"/>
      <c r="E665" s="68"/>
      <c r="F665" s="95"/>
      <c r="G665" s="21"/>
    </row>
    <row r="666" spans="2:7" s="32" customFormat="1" x14ac:dyDescent="0.25">
      <c r="B666" s="39"/>
      <c r="D666" s="59"/>
      <c r="E666" s="68"/>
      <c r="F666" s="95"/>
      <c r="G666" s="21"/>
    </row>
    <row r="667" spans="2:7" s="32" customFormat="1" x14ac:dyDescent="0.25">
      <c r="B667" s="39"/>
      <c r="D667" s="59"/>
      <c r="E667" s="68"/>
      <c r="F667" s="95"/>
      <c r="G667" s="21"/>
    </row>
    <row r="668" spans="2:7" s="32" customFormat="1" x14ac:dyDescent="0.25">
      <c r="B668" s="39"/>
      <c r="D668" s="59"/>
      <c r="E668" s="68"/>
      <c r="F668" s="95"/>
      <c r="G668" s="21"/>
    </row>
    <row r="669" spans="2:7" s="32" customFormat="1" x14ac:dyDescent="0.25">
      <c r="B669" s="39"/>
      <c r="D669" s="59"/>
      <c r="E669" s="68"/>
      <c r="F669" s="95"/>
      <c r="G669" s="21"/>
    </row>
    <row r="670" spans="2:7" s="32" customFormat="1" x14ac:dyDescent="0.25">
      <c r="B670" s="39"/>
      <c r="D670" s="59"/>
      <c r="E670" s="68"/>
      <c r="F670" s="95"/>
      <c r="G670" s="21"/>
    </row>
    <row r="671" spans="2:7" s="32" customFormat="1" x14ac:dyDescent="0.25">
      <c r="B671" s="39"/>
      <c r="D671" s="59"/>
      <c r="E671" s="68"/>
      <c r="F671" s="95"/>
      <c r="G671" s="21"/>
    </row>
    <row r="672" spans="2:7" s="32" customFormat="1" x14ac:dyDescent="0.25">
      <c r="B672" s="39"/>
      <c r="D672" s="59"/>
      <c r="E672" s="68"/>
      <c r="F672" s="95"/>
      <c r="G672" s="21"/>
    </row>
    <row r="673" spans="2:7" s="32" customFormat="1" x14ac:dyDescent="0.25">
      <c r="B673" s="39"/>
      <c r="D673" s="59"/>
      <c r="E673" s="68"/>
      <c r="F673" s="95"/>
      <c r="G673" s="21"/>
    </row>
    <row r="674" spans="2:7" s="32" customFormat="1" x14ac:dyDescent="0.25">
      <c r="B674" s="39"/>
      <c r="D674" s="59"/>
      <c r="E674" s="68"/>
      <c r="F674" s="95"/>
      <c r="G674" s="21"/>
    </row>
    <row r="675" spans="2:7" s="32" customFormat="1" x14ac:dyDescent="0.25">
      <c r="B675" s="39"/>
      <c r="D675" s="59"/>
      <c r="E675" s="68"/>
      <c r="F675" s="95"/>
      <c r="G675" s="21"/>
    </row>
    <row r="676" spans="2:7" s="32" customFormat="1" x14ac:dyDescent="0.25">
      <c r="B676" s="39"/>
      <c r="D676" s="59"/>
      <c r="E676" s="68"/>
      <c r="F676" s="95"/>
      <c r="G676" s="21"/>
    </row>
    <row r="677" spans="2:7" s="32" customFormat="1" x14ac:dyDescent="0.25">
      <c r="B677" s="39"/>
      <c r="D677" s="59"/>
      <c r="E677" s="68"/>
      <c r="F677" s="95"/>
      <c r="G677" s="21"/>
    </row>
    <row r="678" spans="2:7" s="32" customFormat="1" x14ac:dyDescent="0.25">
      <c r="B678" s="39"/>
      <c r="D678" s="59"/>
      <c r="E678" s="68"/>
      <c r="F678" s="95"/>
      <c r="G678" s="21"/>
    </row>
    <row r="679" spans="2:7" s="32" customFormat="1" x14ac:dyDescent="0.25">
      <c r="B679" s="39"/>
      <c r="D679" s="59"/>
      <c r="E679" s="68"/>
      <c r="F679" s="95"/>
      <c r="G679" s="21"/>
    </row>
    <row r="680" spans="2:7" s="32" customFormat="1" x14ac:dyDescent="0.25">
      <c r="B680" s="39"/>
      <c r="D680" s="59"/>
      <c r="E680" s="68"/>
      <c r="F680" s="95"/>
      <c r="G680" s="21"/>
    </row>
    <row r="681" spans="2:7" s="32" customFormat="1" x14ac:dyDescent="0.25">
      <c r="B681" s="39"/>
      <c r="D681" s="59"/>
      <c r="E681" s="68"/>
      <c r="F681" s="95"/>
      <c r="G681" s="21"/>
    </row>
    <row r="682" spans="2:7" s="32" customFormat="1" x14ac:dyDescent="0.25">
      <c r="B682" s="39"/>
      <c r="D682" s="59"/>
      <c r="E682" s="68"/>
      <c r="F682" s="95"/>
      <c r="G682" s="21"/>
    </row>
    <row r="683" spans="2:7" s="32" customFormat="1" x14ac:dyDescent="0.25">
      <c r="B683" s="39"/>
      <c r="D683" s="59"/>
      <c r="E683" s="68"/>
      <c r="F683" s="95"/>
      <c r="G683" s="21"/>
    </row>
    <row r="684" spans="2:7" s="32" customFormat="1" x14ac:dyDescent="0.25">
      <c r="B684" s="39"/>
      <c r="D684" s="59"/>
      <c r="E684" s="68"/>
      <c r="F684" s="95"/>
      <c r="G684" s="21"/>
    </row>
    <row r="685" spans="2:7" s="32" customFormat="1" x14ac:dyDescent="0.25">
      <c r="B685" s="39"/>
      <c r="D685" s="59"/>
      <c r="E685" s="68"/>
      <c r="F685" s="95"/>
      <c r="G685" s="21"/>
    </row>
    <row r="686" spans="2:7" s="32" customFormat="1" x14ac:dyDescent="0.25">
      <c r="B686" s="39"/>
      <c r="D686" s="59"/>
      <c r="E686" s="68"/>
      <c r="F686" s="95"/>
      <c r="G686" s="21"/>
    </row>
    <row r="687" spans="2:7" s="32" customFormat="1" x14ac:dyDescent="0.25">
      <c r="B687" s="39"/>
      <c r="D687" s="59"/>
      <c r="E687" s="68"/>
      <c r="F687" s="95"/>
      <c r="G687" s="21"/>
    </row>
    <row r="688" spans="2:7" s="32" customFormat="1" x14ac:dyDescent="0.25">
      <c r="B688" s="39"/>
      <c r="D688" s="59"/>
      <c r="E688" s="68"/>
      <c r="F688" s="95"/>
      <c r="G688" s="21"/>
    </row>
    <row r="689" spans="2:7" s="32" customFormat="1" x14ac:dyDescent="0.25">
      <c r="B689" s="39"/>
      <c r="D689" s="59"/>
      <c r="E689" s="68"/>
      <c r="F689" s="95"/>
      <c r="G689" s="21"/>
    </row>
    <row r="690" spans="2:7" s="32" customFormat="1" x14ac:dyDescent="0.25">
      <c r="B690" s="39"/>
      <c r="D690" s="59"/>
      <c r="E690" s="68"/>
      <c r="F690" s="95"/>
      <c r="G690" s="21"/>
    </row>
    <row r="691" spans="2:7" s="32" customFormat="1" x14ac:dyDescent="0.25">
      <c r="B691" s="39"/>
      <c r="D691" s="59"/>
      <c r="E691" s="68"/>
      <c r="F691" s="95"/>
      <c r="G691" s="21"/>
    </row>
    <row r="692" spans="2:7" s="32" customFormat="1" x14ac:dyDescent="0.25">
      <c r="B692" s="39"/>
      <c r="D692" s="59"/>
      <c r="E692" s="68"/>
      <c r="F692" s="95"/>
      <c r="G692" s="21"/>
    </row>
    <row r="693" spans="2:7" s="32" customFormat="1" x14ac:dyDescent="0.25">
      <c r="B693" s="39"/>
      <c r="D693" s="59"/>
      <c r="E693" s="68"/>
      <c r="F693" s="95"/>
      <c r="G693" s="21"/>
    </row>
    <row r="694" spans="2:7" s="32" customFormat="1" x14ac:dyDescent="0.25">
      <c r="B694" s="39"/>
      <c r="D694" s="59"/>
      <c r="E694" s="68"/>
      <c r="F694" s="95"/>
      <c r="G694" s="21"/>
    </row>
    <row r="695" spans="2:7" s="32" customFormat="1" x14ac:dyDescent="0.25">
      <c r="B695" s="39"/>
      <c r="D695" s="59"/>
      <c r="E695" s="68"/>
      <c r="F695" s="95"/>
      <c r="G695" s="21"/>
    </row>
    <row r="696" spans="2:7" s="32" customFormat="1" x14ac:dyDescent="0.25">
      <c r="B696" s="39"/>
      <c r="D696" s="59"/>
      <c r="E696" s="68"/>
      <c r="F696" s="95"/>
      <c r="G696" s="21"/>
    </row>
    <row r="697" spans="2:7" s="32" customFormat="1" x14ac:dyDescent="0.25">
      <c r="B697" s="39"/>
      <c r="D697" s="59"/>
      <c r="E697" s="68"/>
      <c r="F697" s="95"/>
      <c r="G697" s="21"/>
    </row>
    <row r="698" spans="2:7" s="32" customFormat="1" x14ac:dyDescent="0.25">
      <c r="B698" s="39"/>
      <c r="D698" s="59"/>
      <c r="E698" s="68"/>
      <c r="F698" s="95"/>
      <c r="G698" s="21"/>
    </row>
    <row r="699" spans="2:7" s="32" customFormat="1" x14ac:dyDescent="0.25">
      <c r="B699" s="39"/>
      <c r="D699" s="59"/>
      <c r="E699" s="68"/>
      <c r="F699" s="95"/>
      <c r="G699" s="21"/>
    </row>
    <row r="700" spans="2:7" s="32" customFormat="1" x14ac:dyDescent="0.25">
      <c r="B700" s="39"/>
      <c r="D700" s="59"/>
      <c r="E700" s="68"/>
      <c r="F700" s="95"/>
      <c r="G700" s="21"/>
    </row>
    <row r="701" spans="2:7" s="32" customFormat="1" x14ac:dyDescent="0.25">
      <c r="B701" s="39"/>
      <c r="D701" s="59"/>
      <c r="E701" s="68"/>
      <c r="F701" s="95"/>
      <c r="G701" s="21"/>
    </row>
    <row r="702" spans="2:7" s="32" customFormat="1" x14ac:dyDescent="0.25">
      <c r="B702" s="39"/>
      <c r="D702" s="59"/>
      <c r="E702" s="68"/>
      <c r="F702" s="95"/>
      <c r="G702" s="21"/>
    </row>
    <row r="703" spans="2:7" s="32" customFormat="1" x14ac:dyDescent="0.25">
      <c r="B703" s="39"/>
      <c r="D703" s="59"/>
      <c r="E703" s="68"/>
      <c r="F703" s="95"/>
      <c r="G703" s="21"/>
    </row>
    <row r="704" spans="2:7" s="32" customFormat="1" x14ac:dyDescent="0.25">
      <c r="B704" s="39"/>
      <c r="D704" s="59"/>
      <c r="E704" s="68"/>
      <c r="F704" s="95"/>
      <c r="G704" s="21"/>
    </row>
    <row r="705" spans="2:7" s="32" customFormat="1" x14ac:dyDescent="0.25">
      <c r="B705" s="39"/>
      <c r="D705" s="59"/>
      <c r="E705" s="68"/>
      <c r="F705" s="95"/>
      <c r="G705" s="21"/>
    </row>
    <row r="706" spans="2:7" s="32" customFormat="1" x14ac:dyDescent="0.25">
      <c r="B706" s="39"/>
      <c r="D706" s="59"/>
      <c r="E706" s="68"/>
      <c r="F706" s="95"/>
      <c r="G706" s="21"/>
    </row>
    <row r="707" spans="2:7" s="32" customFormat="1" x14ac:dyDescent="0.25">
      <c r="B707" s="39"/>
      <c r="D707" s="59"/>
      <c r="E707" s="68"/>
      <c r="F707" s="95"/>
      <c r="G707" s="21"/>
    </row>
    <row r="708" spans="2:7" s="32" customFormat="1" x14ac:dyDescent="0.25">
      <c r="B708" s="39"/>
      <c r="D708" s="59"/>
      <c r="E708" s="68"/>
      <c r="F708" s="95"/>
      <c r="G708" s="21"/>
    </row>
    <row r="709" spans="2:7" s="32" customFormat="1" x14ac:dyDescent="0.25">
      <c r="B709" s="39"/>
      <c r="D709" s="59"/>
      <c r="E709" s="68"/>
      <c r="F709" s="95"/>
      <c r="G709" s="21"/>
    </row>
    <row r="710" spans="2:7" s="32" customFormat="1" x14ac:dyDescent="0.25">
      <c r="B710" s="39"/>
      <c r="D710" s="59"/>
      <c r="E710" s="68"/>
      <c r="F710" s="95"/>
      <c r="G710" s="21"/>
    </row>
    <row r="711" spans="2:7" s="32" customFormat="1" x14ac:dyDescent="0.25">
      <c r="B711" s="39"/>
      <c r="D711" s="59"/>
      <c r="E711" s="68"/>
      <c r="F711" s="95"/>
      <c r="G711" s="21"/>
    </row>
    <row r="712" spans="2:7" s="32" customFormat="1" x14ac:dyDescent="0.25">
      <c r="B712" s="39"/>
      <c r="D712" s="59"/>
      <c r="E712" s="68"/>
      <c r="F712" s="95"/>
      <c r="G712" s="21"/>
    </row>
    <row r="713" spans="2:7" s="32" customFormat="1" x14ac:dyDescent="0.25">
      <c r="B713" s="39"/>
      <c r="D713" s="59"/>
      <c r="E713" s="68"/>
      <c r="F713" s="95"/>
      <c r="G713" s="21"/>
    </row>
    <row r="714" spans="2:7" s="32" customFormat="1" x14ac:dyDescent="0.25">
      <c r="B714" s="39"/>
      <c r="D714" s="59"/>
      <c r="E714" s="68"/>
      <c r="F714" s="95"/>
      <c r="G714" s="21"/>
    </row>
    <row r="715" spans="2:7" s="32" customFormat="1" x14ac:dyDescent="0.25">
      <c r="B715" s="39"/>
      <c r="D715" s="59"/>
      <c r="E715" s="68"/>
      <c r="F715" s="95"/>
      <c r="G715" s="21"/>
    </row>
    <row r="716" spans="2:7" s="32" customFormat="1" x14ac:dyDescent="0.25">
      <c r="B716" s="39"/>
      <c r="D716" s="59"/>
      <c r="E716" s="68"/>
      <c r="F716" s="95"/>
      <c r="G716" s="21"/>
    </row>
    <row r="717" spans="2:7" s="32" customFormat="1" x14ac:dyDescent="0.25">
      <c r="B717" s="39"/>
      <c r="D717" s="59"/>
      <c r="E717" s="68"/>
      <c r="F717" s="95"/>
      <c r="G717" s="21"/>
    </row>
    <row r="718" spans="2:7" s="32" customFormat="1" x14ac:dyDescent="0.25">
      <c r="B718" s="39"/>
      <c r="D718" s="59"/>
      <c r="E718" s="68"/>
      <c r="F718" s="95"/>
      <c r="G718" s="21"/>
    </row>
    <row r="719" spans="2:7" s="32" customFormat="1" x14ac:dyDescent="0.25">
      <c r="B719" s="39"/>
      <c r="D719" s="59"/>
      <c r="E719" s="68"/>
      <c r="F719" s="95"/>
      <c r="G719" s="21"/>
    </row>
    <row r="720" spans="2:7" s="32" customFormat="1" x14ac:dyDescent="0.25">
      <c r="B720" s="39"/>
      <c r="D720" s="59"/>
      <c r="E720" s="68"/>
      <c r="F720" s="95"/>
      <c r="G720" s="21"/>
    </row>
    <row r="721" spans="2:7" s="32" customFormat="1" x14ac:dyDescent="0.25">
      <c r="B721" s="39"/>
      <c r="D721" s="59"/>
      <c r="E721" s="68"/>
      <c r="F721" s="95"/>
      <c r="G721" s="21"/>
    </row>
    <row r="722" spans="2:7" s="32" customFormat="1" x14ac:dyDescent="0.25">
      <c r="B722" s="39"/>
      <c r="D722" s="59"/>
      <c r="E722" s="68"/>
      <c r="F722" s="95"/>
      <c r="G722" s="21"/>
    </row>
    <row r="723" spans="2:7" s="32" customFormat="1" x14ac:dyDescent="0.25">
      <c r="B723" s="39"/>
      <c r="D723" s="59"/>
      <c r="E723" s="68"/>
      <c r="F723" s="95"/>
      <c r="G723" s="21"/>
    </row>
    <row r="724" spans="2:7" s="32" customFormat="1" x14ac:dyDescent="0.25">
      <c r="B724" s="39"/>
      <c r="D724" s="59"/>
      <c r="E724" s="68"/>
      <c r="F724" s="95"/>
      <c r="G724" s="21"/>
    </row>
    <row r="725" spans="2:7" s="32" customFormat="1" x14ac:dyDescent="0.25">
      <c r="B725" s="39"/>
      <c r="D725" s="59"/>
      <c r="E725" s="68"/>
      <c r="F725" s="95"/>
      <c r="G725" s="21"/>
    </row>
    <row r="726" spans="2:7" s="32" customFormat="1" x14ac:dyDescent="0.25">
      <c r="B726" s="39"/>
      <c r="D726" s="59"/>
      <c r="E726" s="68"/>
      <c r="F726" s="95"/>
      <c r="G726" s="21"/>
    </row>
    <row r="727" spans="2:7" s="32" customFormat="1" x14ac:dyDescent="0.25">
      <c r="B727" s="39"/>
      <c r="D727" s="59"/>
      <c r="E727" s="68"/>
      <c r="F727" s="95"/>
      <c r="G727" s="21"/>
    </row>
    <row r="728" spans="2:7" s="32" customFormat="1" x14ac:dyDescent="0.25">
      <c r="B728" s="39"/>
      <c r="D728" s="59"/>
      <c r="E728" s="68"/>
      <c r="F728" s="95"/>
      <c r="G728" s="21"/>
    </row>
    <row r="729" spans="2:7" s="32" customFormat="1" x14ac:dyDescent="0.25">
      <c r="B729" s="39"/>
      <c r="D729" s="59"/>
      <c r="E729" s="68"/>
      <c r="F729" s="95"/>
      <c r="G729" s="21"/>
    </row>
    <row r="730" spans="2:7" s="32" customFormat="1" x14ac:dyDescent="0.25">
      <c r="B730" s="39"/>
      <c r="D730" s="59"/>
      <c r="E730" s="68"/>
      <c r="F730" s="95"/>
      <c r="G730" s="21"/>
    </row>
    <row r="731" spans="2:7" s="32" customFormat="1" x14ac:dyDescent="0.25">
      <c r="B731" s="39"/>
      <c r="D731" s="59"/>
      <c r="E731" s="68"/>
      <c r="F731" s="95"/>
      <c r="G731" s="21"/>
    </row>
    <row r="732" spans="2:7" s="32" customFormat="1" x14ac:dyDescent="0.25">
      <c r="B732" s="39"/>
      <c r="D732" s="59"/>
      <c r="E732" s="68"/>
      <c r="F732" s="95"/>
      <c r="G732" s="21"/>
    </row>
    <row r="733" spans="2:7" s="32" customFormat="1" x14ac:dyDescent="0.25">
      <c r="B733" s="39"/>
      <c r="D733" s="59"/>
      <c r="E733" s="68"/>
      <c r="F733" s="95"/>
      <c r="G733" s="21"/>
    </row>
    <row r="734" spans="2:7" s="32" customFormat="1" x14ac:dyDescent="0.25">
      <c r="B734" s="39"/>
      <c r="D734" s="59"/>
      <c r="E734" s="68"/>
      <c r="F734" s="95"/>
      <c r="G734" s="21"/>
    </row>
    <row r="735" spans="2:7" s="32" customFormat="1" x14ac:dyDescent="0.25">
      <c r="B735" s="39"/>
      <c r="D735" s="59"/>
      <c r="E735" s="68"/>
      <c r="F735" s="95"/>
      <c r="G735" s="21"/>
    </row>
    <row r="736" spans="2:7" s="32" customFormat="1" x14ac:dyDescent="0.25">
      <c r="B736" s="39"/>
      <c r="D736" s="59"/>
      <c r="E736" s="68"/>
      <c r="F736" s="95"/>
      <c r="G736" s="21"/>
    </row>
    <row r="737" spans="2:7" s="32" customFormat="1" x14ac:dyDescent="0.25">
      <c r="B737" s="39"/>
      <c r="D737" s="59"/>
      <c r="E737" s="68"/>
      <c r="F737" s="95"/>
      <c r="G737" s="21"/>
    </row>
    <row r="738" spans="2:7" s="32" customFormat="1" x14ac:dyDescent="0.25">
      <c r="B738" s="39"/>
      <c r="D738" s="59"/>
      <c r="E738" s="68"/>
      <c r="F738" s="95"/>
      <c r="G738" s="21"/>
    </row>
    <row r="739" spans="2:7" s="32" customFormat="1" x14ac:dyDescent="0.25">
      <c r="B739" s="39"/>
      <c r="D739" s="59"/>
      <c r="E739" s="68"/>
      <c r="F739" s="95"/>
      <c r="G739" s="21"/>
    </row>
    <row r="740" spans="2:7" s="32" customFormat="1" x14ac:dyDescent="0.25">
      <c r="B740" s="39"/>
      <c r="D740" s="59"/>
      <c r="E740" s="68"/>
      <c r="F740" s="95"/>
      <c r="G740" s="21"/>
    </row>
    <row r="741" spans="2:7" s="32" customFormat="1" x14ac:dyDescent="0.25">
      <c r="B741" s="39"/>
      <c r="D741" s="59"/>
      <c r="E741" s="68"/>
      <c r="F741" s="95"/>
      <c r="G741" s="21"/>
    </row>
    <row r="742" spans="2:7" s="32" customFormat="1" x14ac:dyDescent="0.25">
      <c r="B742" s="39"/>
      <c r="D742" s="59"/>
      <c r="E742" s="68"/>
      <c r="F742" s="95"/>
      <c r="G742" s="21"/>
    </row>
    <row r="743" spans="2:7" s="32" customFormat="1" x14ac:dyDescent="0.25">
      <c r="B743" s="39"/>
      <c r="D743" s="59"/>
      <c r="E743" s="68"/>
      <c r="F743" s="95"/>
      <c r="G743" s="21"/>
    </row>
    <row r="744" spans="2:7" s="32" customFormat="1" x14ac:dyDescent="0.25">
      <c r="B744" s="39"/>
      <c r="D744" s="59"/>
      <c r="E744" s="68"/>
      <c r="F744" s="95"/>
      <c r="G744" s="21"/>
    </row>
    <row r="745" spans="2:7" s="32" customFormat="1" x14ac:dyDescent="0.25">
      <c r="B745" s="39"/>
      <c r="D745" s="59"/>
      <c r="E745" s="68"/>
      <c r="F745" s="95"/>
      <c r="G745" s="21"/>
    </row>
    <row r="746" spans="2:7" s="32" customFormat="1" x14ac:dyDescent="0.25">
      <c r="B746" s="39"/>
      <c r="D746" s="59"/>
      <c r="E746" s="68"/>
      <c r="F746" s="95"/>
      <c r="G746" s="21"/>
    </row>
    <row r="747" spans="2:7" s="32" customFormat="1" x14ac:dyDescent="0.25">
      <c r="B747" s="39"/>
      <c r="D747" s="59"/>
      <c r="E747" s="68"/>
      <c r="F747" s="95"/>
      <c r="G747" s="21"/>
    </row>
    <row r="748" spans="2:7" s="32" customFormat="1" x14ac:dyDescent="0.25">
      <c r="B748" s="39"/>
      <c r="D748" s="59"/>
      <c r="E748" s="68"/>
      <c r="F748" s="95"/>
      <c r="G748" s="21"/>
    </row>
    <row r="749" spans="2:7" s="32" customFormat="1" x14ac:dyDescent="0.25">
      <c r="B749" s="39"/>
      <c r="D749" s="59"/>
      <c r="E749" s="68"/>
      <c r="F749" s="95"/>
      <c r="G749" s="21"/>
    </row>
    <row r="750" spans="2:7" s="32" customFormat="1" x14ac:dyDescent="0.25">
      <c r="B750" s="39"/>
      <c r="D750" s="59"/>
      <c r="E750" s="68"/>
      <c r="F750" s="95"/>
      <c r="G750" s="21"/>
    </row>
    <row r="751" spans="2:7" s="32" customFormat="1" x14ac:dyDescent="0.25">
      <c r="B751" s="39"/>
      <c r="D751" s="59"/>
      <c r="E751" s="68"/>
      <c r="F751" s="95"/>
      <c r="G751" s="21"/>
    </row>
    <row r="752" spans="2:7" s="32" customFormat="1" x14ac:dyDescent="0.25">
      <c r="B752" s="39"/>
      <c r="D752" s="59"/>
      <c r="E752" s="68"/>
      <c r="F752" s="95"/>
      <c r="G752" s="21"/>
    </row>
    <row r="753" spans="2:7" s="32" customFormat="1" x14ac:dyDescent="0.25">
      <c r="B753" s="39"/>
      <c r="D753" s="59"/>
      <c r="E753" s="68"/>
      <c r="F753" s="95"/>
      <c r="G753" s="21"/>
    </row>
    <row r="754" spans="2:7" s="32" customFormat="1" x14ac:dyDescent="0.25">
      <c r="B754" s="39"/>
      <c r="D754" s="59"/>
      <c r="E754" s="68"/>
      <c r="F754" s="95"/>
      <c r="G754" s="21"/>
    </row>
    <row r="755" spans="2:7" s="32" customFormat="1" x14ac:dyDescent="0.25">
      <c r="B755" s="39"/>
      <c r="D755" s="59"/>
      <c r="E755" s="68"/>
      <c r="F755" s="95"/>
      <c r="G755" s="21"/>
    </row>
    <row r="756" spans="2:7" s="32" customFormat="1" x14ac:dyDescent="0.25">
      <c r="B756" s="39"/>
      <c r="D756" s="59"/>
      <c r="E756" s="68"/>
      <c r="F756" s="95"/>
      <c r="G756" s="21"/>
    </row>
    <row r="757" spans="2:7" s="32" customFormat="1" x14ac:dyDescent="0.25">
      <c r="B757" s="39"/>
      <c r="D757" s="59"/>
      <c r="E757" s="68"/>
      <c r="F757" s="95"/>
      <c r="G757" s="21"/>
    </row>
    <row r="758" spans="2:7" s="32" customFormat="1" x14ac:dyDescent="0.25">
      <c r="B758" s="39"/>
      <c r="D758" s="59"/>
      <c r="E758" s="68"/>
      <c r="F758" s="95"/>
      <c r="G758" s="21"/>
    </row>
    <row r="759" spans="2:7" s="32" customFormat="1" x14ac:dyDescent="0.25">
      <c r="B759" s="39"/>
      <c r="D759" s="59"/>
      <c r="E759" s="68"/>
      <c r="F759" s="95"/>
      <c r="G759" s="21"/>
    </row>
    <row r="760" spans="2:7" s="32" customFormat="1" x14ac:dyDescent="0.25">
      <c r="B760" s="39"/>
      <c r="D760" s="59"/>
      <c r="E760" s="68"/>
      <c r="F760" s="95"/>
      <c r="G760" s="21"/>
    </row>
    <row r="761" spans="2:7" s="32" customFormat="1" x14ac:dyDescent="0.25">
      <c r="B761" s="39"/>
      <c r="D761" s="59"/>
      <c r="E761" s="68"/>
      <c r="F761" s="95"/>
      <c r="G761" s="21"/>
    </row>
    <row r="762" spans="2:7" s="32" customFormat="1" x14ac:dyDescent="0.25">
      <c r="B762" s="39"/>
      <c r="D762" s="59"/>
      <c r="E762" s="68"/>
      <c r="F762" s="95"/>
      <c r="G762" s="21"/>
    </row>
    <row r="763" spans="2:7" s="32" customFormat="1" x14ac:dyDescent="0.25">
      <c r="B763" s="39"/>
      <c r="D763" s="59"/>
      <c r="E763" s="68"/>
      <c r="F763" s="95"/>
      <c r="G763" s="21"/>
    </row>
    <row r="764" spans="2:7" s="32" customFormat="1" x14ac:dyDescent="0.25">
      <c r="B764" s="39"/>
      <c r="D764" s="59"/>
      <c r="E764" s="68"/>
      <c r="F764" s="95"/>
      <c r="G764" s="21"/>
    </row>
    <row r="765" spans="2:7" s="32" customFormat="1" x14ac:dyDescent="0.25">
      <c r="B765" s="39"/>
      <c r="D765" s="59"/>
      <c r="E765" s="68"/>
      <c r="F765" s="95"/>
      <c r="G765" s="21"/>
    </row>
    <row r="766" spans="2:7" s="32" customFormat="1" x14ac:dyDescent="0.25">
      <c r="B766" s="39"/>
      <c r="D766" s="59"/>
      <c r="E766" s="68"/>
      <c r="F766" s="95"/>
      <c r="G766" s="21"/>
    </row>
    <row r="767" spans="2:7" s="32" customFormat="1" x14ac:dyDescent="0.25">
      <c r="B767" s="39"/>
      <c r="D767" s="59"/>
      <c r="E767" s="68"/>
      <c r="F767" s="95"/>
      <c r="G767" s="21"/>
    </row>
    <row r="768" spans="2:7" s="32" customFormat="1" x14ac:dyDescent="0.25">
      <c r="B768" s="39"/>
      <c r="D768" s="59"/>
      <c r="E768" s="68"/>
      <c r="F768" s="95"/>
      <c r="G768" s="21"/>
    </row>
    <row r="769" spans="2:7" s="32" customFormat="1" x14ac:dyDescent="0.25">
      <c r="B769" s="39"/>
      <c r="D769" s="59"/>
      <c r="E769" s="68"/>
      <c r="F769" s="95"/>
      <c r="G769" s="21"/>
    </row>
    <row r="770" spans="2:7" s="32" customFormat="1" x14ac:dyDescent="0.25">
      <c r="B770" s="39"/>
      <c r="D770" s="59"/>
      <c r="E770" s="68"/>
      <c r="F770" s="95"/>
      <c r="G770" s="21"/>
    </row>
    <row r="771" spans="2:7" s="32" customFormat="1" x14ac:dyDescent="0.25">
      <c r="B771" s="39"/>
      <c r="D771" s="59"/>
      <c r="E771" s="68"/>
      <c r="F771" s="95"/>
      <c r="G771" s="21"/>
    </row>
    <row r="772" spans="2:7" s="32" customFormat="1" x14ac:dyDescent="0.25">
      <c r="B772" s="39"/>
      <c r="D772" s="59"/>
      <c r="E772" s="68"/>
      <c r="F772" s="95"/>
      <c r="G772" s="21"/>
    </row>
    <row r="773" spans="2:7" s="32" customFormat="1" x14ac:dyDescent="0.25">
      <c r="B773" s="39"/>
      <c r="D773" s="59"/>
      <c r="E773" s="68"/>
      <c r="F773" s="95"/>
      <c r="G773" s="21"/>
    </row>
    <row r="774" spans="2:7" s="32" customFormat="1" x14ac:dyDescent="0.25">
      <c r="B774" s="39"/>
      <c r="D774" s="59"/>
      <c r="E774" s="68"/>
      <c r="F774" s="95"/>
      <c r="G774" s="21"/>
    </row>
    <row r="775" spans="2:7" s="32" customFormat="1" x14ac:dyDescent="0.25">
      <c r="B775" s="39"/>
      <c r="D775" s="59"/>
      <c r="E775" s="68"/>
      <c r="F775" s="95"/>
      <c r="G775" s="21"/>
    </row>
    <row r="776" spans="2:7" s="32" customFormat="1" x14ac:dyDescent="0.25">
      <c r="B776" s="39"/>
      <c r="D776" s="59"/>
      <c r="E776" s="68"/>
      <c r="F776" s="95"/>
      <c r="G776" s="21"/>
    </row>
    <row r="777" spans="2:7" s="32" customFormat="1" x14ac:dyDescent="0.25">
      <c r="B777" s="39"/>
      <c r="D777" s="59"/>
      <c r="E777" s="68"/>
      <c r="F777" s="95"/>
      <c r="G777" s="21"/>
    </row>
    <row r="778" spans="2:7" s="32" customFormat="1" x14ac:dyDescent="0.25">
      <c r="B778" s="39"/>
      <c r="D778" s="59"/>
      <c r="E778" s="68"/>
      <c r="F778" s="95"/>
      <c r="G778" s="21"/>
    </row>
    <row r="779" spans="2:7" s="32" customFormat="1" x14ac:dyDescent="0.25">
      <c r="B779" s="39"/>
      <c r="D779" s="59"/>
      <c r="E779" s="68"/>
      <c r="F779" s="95"/>
      <c r="G779" s="21"/>
    </row>
    <row r="780" spans="2:7" s="32" customFormat="1" x14ac:dyDescent="0.25">
      <c r="B780" s="39"/>
      <c r="D780" s="59"/>
      <c r="E780" s="68"/>
      <c r="F780" s="95"/>
      <c r="G780" s="21"/>
    </row>
    <row r="781" spans="2:7" s="32" customFormat="1" x14ac:dyDescent="0.25">
      <c r="B781" s="39"/>
      <c r="D781" s="59"/>
      <c r="E781" s="68"/>
      <c r="F781" s="95"/>
      <c r="G781" s="21"/>
    </row>
    <row r="782" spans="2:7" s="32" customFormat="1" x14ac:dyDescent="0.25">
      <c r="B782" s="39"/>
      <c r="D782" s="59"/>
      <c r="E782" s="68"/>
      <c r="F782" s="95"/>
      <c r="G782" s="21"/>
    </row>
    <row r="783" spans="2:7" s="32" customFormat="1" x14ac:dyDescent="0.25">
      <c r="B783" s="39"/>
      <c r="D783" s="59"/>
      <c r="E783" s="68"/>
      <c r="F783" s="95"/>
      <c r="G783" s="21"/>
    </row>
    <row r="784" spans="2:7" s="32" customFormat="1" x14ac:dyDescent="0.25">
      <c r="B784" s="39"/>
      <c r="D784" s="59"/>
      <c r="E784" s="68"/>
      <c r="F784" s="95"/>
      <c r="G784" s="21"/>
    </row>
    <row r="785" spans="2:7" s="32" customFormat="1" x14ac:dyDescent="0.25">
      <c r="B785" s="39"/>
      <c r="D785" s="59"/>
      <c r="E785" s="68"/>
      <c r="F785" s="95"/>
      <c r="G785" s="21"/>
    </row>
    <row r="786" spans="2:7" s="32" customFormat="1" x14ac:dyDescent="0.25">
      <c r="B786" s="39"/>
      <c r="D786" s="59"/>
      <c r="E786" s="68"/>
      <c r="F786" s="95"/>
      <c r="G786" s="21"/>
    </row>
    <row r="787" spans="2:7" s="32" customFormat="1" x14ac:dyDescent="0.25">
      <c r="B787" s="39"/>
      <c r="D787" s="59"/>
      <c r="E787" s="68"/>
      <c r="F787" s="95"/>
      <c r="G787" s="21"/>
    </row>
    <row r="788" spans="2:7" s="32" customFormat="1" x14ac:dyDescent="0.25">
      <c r="B788" s="39"/>
      <c r="D788" s="59"/>
      <c r="E788" s="68"/>
      <c r="F788" s="95"/>
      <c r="G788" s="21"/>
    </row>
    <row r="789" spans="2:7" s="32" customFormat="1" x14ac:dyDescent="0.25">
      <c r="B789" s="39"/>
      <c r="D789" s="59"/>
      <c r="E789" s="68"/>
      <c r="F789" s="95"/>
      <c r="G789" s="21"/>
    </row>
    <row r="790" spans="2:7" s="32" customFormat="1" x14ac:dyDescent="0.25">
      <c r="B790" s="39"/>
      <c r="D790" s="59"/>
      <c r="E790" s="68"/>
      <c r="F790" s="95"/>
      <c r="G790" s="21"/>
    </row>
    <row r="791" spans="2:7" s="32" customFormat="1" x14ac:dyDescent="0.25">
      <c r="B791" s="39"/>
      <c r="D791" s="59"/>
      <c r="E791" s="68"/>
      <c r="F791" s="95"/>
      <c r="G791" s="21"/>
    </row>
    <row r="792" spans="2:7" s="32" customFormat="1" x14ac:dyDescent="0.25">
      <c r="B792" s="39"/>
      <c r="D792" s="59"/>
      <c r="E792" s="68"/>
      <c r="F792" s="95"/>
      <c r="G792" s="21"/>
    </row>
    <row r="793" spans="2:7" s="32" customFormat="1" x14ac:dyDescent="0.25">
      <c r="B793" s="39"/>
      <c r="D793" s="59"/>
      <c r="E793" s="68"/>
      <c r="F793" s="95"/>
      <c r="G793" s="21"/>
    </row>
    <row r="794" spans="2:7" s="32" customFormat="1" x14ac:dyDescent="0.25">
      <c r="B794" s="39"/>
      <c r="D794" s="59"/>
      <c r="E794" s="68"/>
      <c r="F794" s="95"/>
      <c r="G794" s="21"/>
    </row>
    <row r="795" spans="2:7" s="32" customFormat="1" x14ac:dyDescent="0.25">
      <c r="B795" s="39"/>
      <c r="D795" s="59"/>
      <c r="E795" s="68"/>
      <c r="F795" s="95"/>
      <c r="G795" s="21"/>
    </row>
    <row r="796" spans="2:7" s="32" customFormat="1" x14ac:dyDescent="0.25">
      <c r="B796" s="39"/>
      <c r="D796" s="59"/>
      <c r="E796" s="68"/>
      <c r="F796" s="95"/>
      <c r="G796" s="21"/>
    </row>
    <row r="797" spans="2:7" s="32" customFormat="1" x14ac:dyDescent="0.25">
      <c r="B797" s="39"/>
      <c r="D797" s="59"/>
      <c r="E797" s="68"/>
      <c r="F797" s="95"/>
      <c r="G797" s="21"/>
    </row>
    <row r="798" spans="2:7" s="32" customFormat="1" x14ac:dyDescent="0.25">
      <c r="B798" s="39"/>
      <c r="D798" s="59"/>
      <c r="E798" s="68"/>
      <c r="F798" s="95"/>
      <c r="G798" s="21"/>
    </row>
    <row r="799" spans="2:7" s="32" customFormat="1" x14ac:dyDescent="0.25">
      <c r="B799" s="39"/>
      <c r="D799" s="59"/>
      <c r="E799" s="68"/>
      <c r="F799" s="95"/>
      <c r="G799" s="21"/>
    </row>
    <row r="800" spans="2:7" s="32" customFormat="1" x14ac:dyDescent="0.25">
      <c r="B800" s="39"/>
      <c r="D800" s="59"/>
      <c r="E800" s="68"/>
      <c r="F800" s="95"/>
      <c r="G800" s="21"/>
    </row>
    <row r="801" spans="2:7" s="32" customFormat="1" x14ac:dyDescent="0.25">
      <c r="B801" s="39"/>
      <c r="D801" s="59"/>
      <c r="E801" s="68"/>
      <c r="F801" s="95"/>
      <c r="G801" s="21"/>
    </row>
    <row r="802" spans="2:7" s="32" customFormat="1" x14ac:dyDescent="0.25">
      <c r="B802" s="39"/>
      <c r="D802" s="59"/>
      <c r="E802" s="68"/>
      <c r="F802" s="95"/>
      <c r="G802" s="21"/>
    </row>
    <row r="803" spans="2:7" s="32" customFormat="1" x14ac:dyDescent="0.25">
      <c r="B803" s="39"/>
      <c r="D803" s="59"/>
      <c r="E803" s="68"/>
      <c r="F803" s="95"/>
      <c r="G803" s="21"/>
    </row>
    <row r="804" spans="2:7" s="32" customFormat="1" x14ac:dyDescent="0.25">
      <c r="B804" s="39"/>
      <c r="D804" s="59"/>
      <c r="E804" s="68"/>
      <c r="F804" s="95"/>
      <c r="G804" s="21"/>
    </row>
    <row r="805" spans="2:7" s="32" customFormat="1" x14ac:dyDescent="0.25">
      <c r="B805" s="39"/>
      <c r="D805" s="59"/>
      <c r="E805" s="68"/>
      <c r="F805" s="95"/>
      <c r="G805" s="21"/>
    </row>
    <row r="806" spans="2:7" s="32" customFormat="1" x14ac:dyDescent="0.25">
      <c r="B806" s="39"/>
      <c r="D806" s="59"/>
      <c r="E806" s="68"/>
      <c r="F806" s="95"/>
      <c r="G806" s="21"/>
    </row>
    <row r="807" spans="2:7" s="32" customFormat="1" x14ac:dyDescent="0.25">
      <c r="B807" s="39"/>
      <c r="D807" s="59"/>
      <c r="E807" s="68"/>
      <c r="F807" s="95"/>
      <c r="G807" s="21"/>
    </row>
    <row r="808" spans="2:7" s="32" customFormat="1" x14ac:dyDescent="0.25">
      <c r="B808" s="39"/>
      <c r="D808" s="59"/>
      <c r="E808" s="68"/>
      <c r="F808" s="95"/>
      <c r="G808" s="21"/>
    </row>
    <row r="809" spans="2:7" s="32" customFormat="1" x14ac:dyDescent="0.25">
      <c r="B809" s="39"/>
      <c r="D809" s="59"/>
      <c r="E809" s="68"/>
      <c r="F809" s="95"/>
      <c r="G809" s="21"/>
    </row>
    <row r="810" spans="2:7" s="32" customFormat="1" x14ac:dyDescent="0.25">
      <c r="B810" s="39"/>
      <c r="D810" s="59"/>
      <c r="E810" s="68"/>
      <c r="F810" s="95"/>
      <c r="G810" s="21"/>
    </row>
    <row r="811" spans="2:7" s="32" customFormat="1" x14ac:dyDescent="0.25">
      <c r="B811" s="39"/>
      <c r="D811" s="59"/>
      <c r="E811" s="68"/>
      <c r="F811" s="95"/>
      <c r="G811" s="21"/>
    </row>
    <row r="812" spans="2:7" s="32" customFormat="1" x14ac:dyDescent="0.25">
      <c r="B812" s="39"/>
      <c r="D812" s="59"/>
      <c r="E812" s="68"/>
      <c r="F812" s="95"/>
      <c r="G812" s="21"/>
    </row>
    <row r="813" spans="2:7" s="32" customFormat="1" x14ac:dyDescent="0.25">
      <c r="B813" s="39"/>
      <c r="D813" s="59"/>
      <c r="E813" s="68"/>
      <c r="F813" s="95"/>
      <c r="G813" s="21"/>
    </row>
    <row r="814" spans="2:7" s="32" customFormat="1" x14ac:dyDescent="0.25">
      <c r="B814" s="39"/>
      <c r="D814" s="59"/>
      <c r="E814" s="68"/>
      <c r="F814" s="95"/>
      <c r="G814" s="21"/>
    </row>
    <row r="815" spans="2:7" s="32" customFormat="1" x14ac:dyDescent="0.25">
      <c r="B815" s="39"/>
      <c r="D815" s="59"/>
      <c r="E815" s="68"/>
      <c r="F815" s="95"/>
      <c r="G815" s="21"/>
    </row>
    <row r="816" spans="2:7" s="32" customFormat="1" x14ac:dyDescent="0.25">
      <c r="B816" s="39"/>
      <c r="D816" s="59"/>
      <c r="E816" s="68"/>
      <c r="F816" s="95"/>
      <c r="G816" s="21"/>
    </row>
    <row r="817" spans="2:7" s="32" customFormat="1" x14ac:dyDescent="0.25">
      <c r="B817" s="39"/>
      <c r="D817" s="59"/>
      <c r="E817" s="68"/>
      <c r="F817" s="95"/>
      <c r="G817" s="21"/>
    </row>
    <row r="818" spans="2:7" s="32" customFormat="1" x14ac:dyDescent="0.25">
      <c r="B818" s="39"/>
      <c r="D818" s="59"/>
      <c r="E818" s="68"/>
      <c r="F818" s="95"/>
      <c r="G818" s="21"/>
    </row>
    <row r="819" spans="2:7" s="32" customFormat="1" x14ac:dyDescent="0.25">
      <c r="B819" s="39"/>
      <c r="D819" s="59"/>
      <c r="E819" s="68"/>
      <c r="F819" s="95"/>
      <c r="G819" s="21"/>
    </row>
    <row r="820" spans="2:7" s="32" customFormat="1" x14ac:dyDescent="0.25">
      <c r="B820" s="39"/>
      <c r="D820" s="59"/>
      <c r="E820" s="68"/>
      <c r="F820" s="95"/>
      <c r="G820" s="21"/>
    </row>
    <row r="821" spans="2:7" s="32" customFormat="1" x14ac:dyDescent="0.25">
      <c r="B821" s="39"/>
      <c r="D821" s="59"/>
      <c r="E821" s="68"/>
      <c r="F821" s="95"/>
      <c r="G821" s="21"/>
    </row>
    <row r="822" spans="2:7" s="32" customFormat="1" x14ac:dyDescent="0.25">
      <c r="B822" s="39"/>
      <c r="D822" s="59"/>
      <c r="E822" s="68"/>
      <c r="F822" s="95"/>
      <c r="G822" s="21"/>
    </row>
    <row r="823" spans="2:7" s="32" customFormat="1" x14ac:dyDescent="0.25">
      <c r="B823" s="39"/>
      <c r="D823" s="59"/>
      <c r="E823" s="68"/>
      <c r="F823" s="95"/>
      <c r="G823" s="21"/>
    </row>
    <row r="824" spans="2:7" s="32" customFormat="1" x14ac:dyDescent="0.25">
      <c r="B824" s="39"/>
      <c r="D824" s="59"/>
      <c r="E824" s="68"/>
      <c r="F824" s="95"/>
      <c r="G824" s="21"/>
    </row>
    <row r="825" spans="2:7" s="32" customFormat="1" x14ac:dyDescent="0.25">
      <c r="B825" s="39"/>
      <c r="D825" s="59"/>
      <c r="E825" s="68"/>
      <c r="F825" s="95"/>
      <c r="G825" s="21"/>
    </row>
    <row r="826" spans="2:7" s="32" customFormat="1" x14ac:dyDescent="0.25">
      <c r="B826" s="39"/>
      <c r="D826" s="59"/>
      <c r="E826" s="68"/>
      <c r="F826" s="95"/>
      <c r="G826" s="21"/>
    </row>
    <row r="827" spans="2:7" s="32" customFormat="1" x14ac:dyDescent="0.25">
      <c r="B827" s="39"/>
      <c r="D827" s="59"/>
      <c r="E827" s="68"/>
      <c r="F827" s="95"/>
      <c r="G827" s="21"/>
    </row>
    <row r="828" spans="2:7" s="32" customFormat="1" x14ac:dyDescent="0.25">
      <c r="B828" s="39"/>
      <c r="D828" s="59"/>
      <c r="E828" s="68"/>
      <c r="F828" s="95"/>
      <c r="G828" s="21"/>
    </row>
    <row r="829" spans="2:7" s="32" customFormat="1" x14ac:dyDescent="0.25">
      <c r="B829" s="39"/>
      <c r="D829" s="59"/>
      <c r="E829" s="68"/>
      <c r="F829" s="95"/>
      <c r="G829" s="21"/>
    </row>
    <row r="830" spans="2:7" s="32" customFormat="1" x14ac:dyDescent="0.25">
      <c r="B830" s="39"/>
      <c r="D830" s="59"/>
      <c r="E830" s="68"/>
      <c r="F830" s="95"/>
      <c r="G830" s="21"/>
    </row>
    <row r="831" spans="2:7" s="32" customFormat="1" x14ac:dyDescent="0.25">
      <c r="B831" s="39"/>
      <c r="D831" s="59"/>
      <c r="E831" s="68"/>
      <c r="F831" s="95"/>
      <c r="G831" s="21"/>
    </row>
    <row r="832" spans="2:7" s="32" customFormat="1" x14ac:dyDescent="0.25">
      <c r="B832" s="39"/>
      <c r="D832" s="59"/>
      <c r="E832" s="68"/>
      <c r="F832" s="95"/>
      <c r="G832" s="21"/>
    </row>
    <row r="833" spans="2:7" s="32" customFormat="1" x14ac:dyDescent="0.25">
      <c r="B833" s="39"/>
      <c r="D833" s="59"/>
      <c r="E833" s="68"/>
      <c r="F833" s="95"/>
      <c r="G833" s="21"/>
    </row>
    <row r="834" spans="2:7" s="32" customFormat="1" x14ac:dyDescent="0.25">
      <c r="B834" s="39"/>
      <c r="D834" s="59"/>
      <c r="E834" s="68"/>
      <c r="F834" s="95"/>
      <c r="G834" s="21"/>
    </row>
    <row r="835" spans="2:7" s="32" customFormat="1" x14ac:dyDescent="0.25">
      <c r="B835" s="39"/>
      <c r="D835" s="59"/>
      <c r="E835" s="68"/>
      <c r="F835" s="95"/>
      <c r="G835" s="21"/>
    </row>
    <row r="836" spans="2:7" s="32" customFormat="1" x14ac:dyDescent="0.25">
      <c r="B836" s="39"/>
      <c r="D836" s="59"/>
      <c r="E836" s="68"/>
      <c r="F836" s="95"/>
      <c r="G836" s="21"/>
    </row>
    <row r="837" spans="2:7" s="32" customFormat="1" x14ac:dyDescent="0.25">
      <c r="B837" s="39"/>
      <c r="D837" s="59"/>
      <c r="E837" s="68"/>
      <c r="F837" s="95"/>
      <c r="G837" s="21"/>
    </row>
    <row r="838" spans="2:7" s="32" customFormat="1" x14ac:dyDescent="0.25">
      <c r="B838" s="39"/>
      <c r="D838" s="59"/>
      <c r="E838" s="68"/>
      <c r="F838" s="95"/>
      <c r="G838" s="21"/>
    </row>
    <row r="839" spans="2:7" s="32" customFormat="1" x14ac:dyDescent="0.25">
      <c r="B839" s="39"/>
      <c r="D839" s="59"/>
      <c r="E839" s="68"/>
      <c r="F839" s="95"/>
      <c r="G839" s="21"/>
    </row>
    <row r="840" spans="2:7" s="32" customFormat="1" x14ac:dyDescent="0.25">
      <c r="B840" s="39"/>
      <c r="D840" s="59"/>
      <c r="E840" s="68"/>
      <c r="F840" s="95"/>
      <c r="G840" s="21"/>
    </row>
    <row r="841" spans="2:7" s="32" customFormat="1" x14ac:dyDescent="0.25">
      <c r="B841" s="39"/>
      <c r="D841" s="59"/>
      <c r="E841" s="68"/>
      <c r="F841" s="95"/>
      <c r="G841" s="21"/>
    </row>
    <row r="842" spans="2:7" s="32" customFormat="1" x14ac:dyDescent="0.25">
      <c r="B842" s="39"/>
      <c r="D842" s="59"/>
      <c r="E842" s="68"/>
      <c r="F842" s="95"/>
      <c r="G842" s="21"/>
    </row>
    <row r="843" spans="2:7" s="32" customFormat="1" x14ac:dyDescent="0.25">
      <c r="B843" s="39"/>
      <c r="D843" s="59"/>
      <c r="E843" s="68"/>
      <c r="F843" s="95"/>
      <c r="G843" s="21"/>
    </row>
    <row r="844" spans="2:7" s="32" customFormat="1" x14ac:dyDescent="0.25">
      <c r="B844" s="39"/>
      <c r="D844" s="59"/>
      <c r="E844" s="68"/>
      <c r="F844" s="95"/>
      <c r="G844" s="21"/>
    </row>
    <row r="845" spans="2:7" s="32" customFormat="1" x14ac:dyDescent="0.25">
      <c r="B845" s="39"/>
      <c r="D845" s="59"/>
      <c r="E845" s="68"/>
      <c r="F845" s="95"/>
      <c r="G845" s="21"/>
    </row>
    <row r="846" spans="2:7" s="32" customFormat="1" x14ac:dyDescent="0.25">
      <c r="B846" s="39"/>
      <c r="D846" s="59"/>
      <c r="E846" s="68"/>
      <c r="F846" s="95"/>
      <c r="G846" s="21"/>
    </row>
    <row r="847" spans="2:7" s="32" customFormat="1" x14ac:dyDescent="0.25">
      <c r="B847" s="39"/>
      <c r="D847" s="59"/>
      <c r="E847" s="68"/>
      <c r="F847" s="95"/>
      <c r="G847" s="21"/>
    </row>
    <row r="848" spans="2:7" s="32" customFormat="1" x14ac:dyDescent="0.25">
      <c r="B848" s="39"/>
      <c r="D848" s="59"/>
      <c r="E848" s="68"/>
      <c r="F848" s="95"/>
      <c r="G848" s="21"/>
    </row>
    <row r="849" spans="2:7" s="32" customFormat="1" x14ac:dyDescent="0.25">
      <c r="B849" s="39"/>
      <c r="D849" s="59"/>
      <c r="E849" s="68"/>
      <c r="F849" s="95"/>
      <c r="G849" s="21"/>
    </row>
    <row r="850" spans="2:7" s="32" customFormat="1" x14ac:dyDescent="0.25">
      <c r="B850" s="39"/>
      <c r="D850" s="59"/>
      <c r="E850" s="68"/>
      <c r="F850" s="95"/>
      <c r="G850" s="21"/>
    </row>
    <row r="851" spans="2:7" s="32" customFormat="1" x14ac:dyDescent="0.25">
      <c r="B851" s="39"/>
      <c r="D851" s="59"/>
      <c r="E851" s="68"/>
      <c r="F851" s="95"/>
      <c r="G851" s="21"/>
    </row>
    <row r="852" spans="2:7" s="32" customFormat="1" x14ac:dyDescent="0.25">
      <c r="B852" s="39"/>
      <c r="D852" s="59"/>
      <c r="E852" s="68"/>
      <c r="F852" s="95"/>
      <c r="G852" s="21"/>
    </row>
    <row r="853" spans="2:7" s="32" customFormat="1" x14ac:dyDescent="0.25">
      <c r="B853" s="39"/>
      <c r="D853" s="59"/>
      <c r="E853" s="68"/>
      <c r="F853" s="95"/>
      <c r="G853" s="21"/>
    </row>
    <row r="854" spans="2:7" s="32" customFormat="1" x14ac:dyDescent="0.25">
      <c r="B854" s="39"/>
      <c r="D854" s="59"/>
      <c r="E854" s="68"/>
      <c r="F854" s="95"/>
      <c r="G854" s="21"/>
    </row>
    <row r="855" spans="2:7" s="32" customFormat="1" x14ac:dyDescent="0.25">
      <c r="B855" s="39"/>
      <c r="D855" s="59"/>
      <c r="E855" s="68"/>
      <c r="F855" s="95"/>
      <c r="G855" s="21"/>
    </row>
    <row r="856" spans="2:7" s="32" customFormat="1" x14ac:dyDescent="0.25">
      <c r="B856" s="39"/>
      <c r="D856" s="59"/>
      <c r="E856" s="68"/>
      <c r="F856" s="95"/>
      <c r="G856" s="21"/>
    </row>
    <row r="857" spans="2:7" s="32" customFormat="1" x14ac:dyDescent="0.25">
      <c r="B857" s="39"/>
      <c r="D857" s="59"/>
      <c r="E857" s="68"/>
      <c r="F857" s="95"/>
      <c r="G857" s="21"/>
    </row>
    <row r="858" spans="2:7" s="32" customFormat="1" x14ac:dyDescent="0.25">
      <c r="B858" s="39"/>
      <c r="D858" s="59"/>
      <c r="E858" s="68"/>
      <c r="F858" s="95"/>
      <c r="G858" s="21"/>
    </row>
    <row r="859" spans="2:7" s="32" customFormat="1" x14ac:dyDescent="0.25">
      <c r="B859" s="39"/>
      <c r="D859" s="59"/>
      <c r="E859" s="68"/>
      <c r="F859" s="95"/>
      <c r="G859" s="21"/>
    </row>
    <row r="860" spans="2:7" s="32" customFormat="1" x14ac:dyDescent="0.25">
      <c r="B860" s="39"/>
      <c r="D860" s="59"/>
      <c r="E860" s="68"/>
      <c r="F860" s="95"/>
      <c r="G860" s="21"/>
    </row>
    <row r="861" spans="2:7" s="32" customFormat="1" x14ac:dyDescent="0.25">
      <c r="B861" s="39"/>
      <c r="D861" s="59"/>
      <c r="E861" s="68"/>
      <c r="F861" s="95"/>
      <c r="G861" s="21"/>
    </row>
    <row r="862" spans="2:7" s="32" customFormat="1" x14ac:dyDescent="0.25">
      <c r="B862" s="39"/>
      <c r="D862" s="59"/>
      <c r="E862" s="68"/>
      <c r="F862" s="95"/>
      <c r="G862" s="21"/>
    </row>
    <row r="863" spans="2:7" s="32" customFormat="1" x14ac:dyDescent="0.25">
      <c r="B863" s="39"/>
      <c r="D863" s="59"/>
      <c r="E863" s="68"/>
      <c r="F863" s="95"/>
      <c r="G863" s="21"/>
    </row>
    <row r="864" spans="2:7" s="32" customFormat="1" x14ac:dyDescent="0.25">
      <c r="B864" s="39"/>
      <c r="D864" s="59"/>
      <c r="E864" s="68"/>
      <c r="F864" s="95"/>
      <c r="G864" s="21"/>
    </row>
    <row r="865" spans="2:7" s="32" customFormat="1" x14ac:dyDescent="0.25">
      <c r="B865" s="39"/>
      <c r="D865" s="59"/>
      <c r="E865" s="68"/>
      <c r="F865" s="95"/>
      <c r="G865" s="21"/>
    </row>
    <row r="866" spans="2:7" s="32" customFormat="1" x14ac:dyDescent="0.25">
      <c r="B866" s="39"/>
      <c r="D866" s="59"/>
      <c r="E866" s="68"/>
      <c r="F866" s="95"/>
      <c r="G866" s="21"/>
    </row>
    <row r="867" spans="2:7" s="32" customFormat="1" x14ac:dyDescent="0.25">
      <c r="B867" s="39"/>
      <c r="D867" s="59"/>
      <c r="E867" s="68"/>
      <c r="F867" s="95"/>
      <c r="G867" s="21"/>
    </row>
    <row r="868" spans="2:7" s="32" customFormat="1" x14ac:dyDescent="0.25">
      <c r="B868" s="39"/>
      <c r="D868" s="59"/>
      <c r="E868" s="68"/>
      <c r="F868" s="95"/>
      <c r="G868" s="21"/>
    </row>
    <row r="869" spans="2:7" s="32" customFormat="1" x14ac:dyDescent="0.25">
      <c r="B869" s="39"/>
      <c r="D869" s="59"/>
      <c r="E869" s="68"/>
      <c r="F869" s="95"/>
      <c r="G869" s="21"/>
    </row>
    <row r="870" spans="2:7" s="32" customFormat="1" x14ac:dyDescent="0.25">
      <c r="B870" s="39"/>
      <c r="D870" s="59"/>
      <c r="E870" s="68"/>
      <c r="F870" s="95"/>
      <c r="G870" s="21"/>
    </row>
    <row r="871" spans="2:7" s="32" customFormat="1" x14ac:dyDescent="0.25">
      <c r="B871" s="39"/>
      <c r="D871" s="59"/>
      <c r="E871" s="68"/>
      <c r="F871" s="95"/>
      <c r="G871" s="21"/>
    </row>
    <row r="872" spans="2:7" s="32" customFormat="1" x14ac:dyDescent="0.25">
      <c r="B872" s="39"/>
      <c r="D872" s="59"/>
      <c r="E872" s="68"/>
      <c r="F872" s="95"/>
      <c r="G872" s="21"/>
    </row>
    <row r="873" spans="2:7" s="32" customFormat="1" x14ac:dyDescent="0.25">
      <c r="B873" s="39"/>
      <c r="D873" s="59"/>
      <c r="E873" s="68"/>
      <c r="F873" s="95"/>
      <c r="G873" s="21"/>
    </row>
    <row r="874" spans="2:7" s="32" customFormat="1" x14ac:dyDescent="0.25">
      <c r="B874" s="39"/>
      <c r="D874" s="59"/>
      <c r="E874" s="68"/>
      <c r="F874" s="95"/>
      <c r="G874" s="21"/>
    </row>
    <row r="875" spans="2:7" s="32" customFormat="1" x14ac:dyDescent="0.25">
      <c r="B875" s="39"/>
      <c r="D875" s="59"/>
      <c r="E875" s="68"/>
      <c r="F875" s="95"/>
      <c r="G875" s="21"/>
    </row>
    <row r="876" spans="2:7" s="32" customFormat="1" x14ac:dyDescent="0.25">
      <c r="B876" s="39"/>
      <c r="D876" s="59"/>
      <c r="E876" s="68"/>
      <c r="F876" s="95"/>
      <c r="G876" s="21"/>
    </row>
    <row r="877" spans="2:7" s="32" customFormat="1" x14ac:dyDescent="0.25">
      <c r="B877" s="39"/>
      <c r="D877" s="59"/>
      <c r="E877" s="68"/>
      <c r="F877" s="95"/>
      <c r="G877" s="21"/>
    </row>
    <row r="878" spans="2:7" s="32" customFormat="1" x14ac:dyDescent="0.25">
      <c r="B878" s="39"/>
      <c r="D878" s="59"/>
      <c r="E878" s="68"/>
      <c r="F878" s="95"/>
      <c r="G878" s="21"/>
    </row>
    <row r="879" spans="2:7" s="32" customFormat="1" x14ac:dyDescent="0.25">
      <c r="B879" s="39"/>
      <c r="D879" s="59"/>
      <c r="E879" s="68"/>
      <c r="F879" s="95"/>
      <c r="G879" s="21"/>
    </row>
    <row r="880" spans="2:7" s="32" customFormat="1" x14ac:dyDescent="0.25">
      <c r="B880" s="39"/>
      <c r="D880" s="59"/>
      <c r="E880" s="68"/>
      <c r="F880" s="95"/>
      <c r="G880" s="21"/>
    </row>
    <row r="881" spans="2:7" s="32" customFormat="1" x14ac:dyDescent="0.25">
      <c r="B881" s="39"/>
      <c r="D881" s="59"/>
      <c r="E881" s="68"/>
      <c r="F881" s="95"/>
      <c r="G881" s="21"/>
    </row>
    <row r="882" spans="2:7" s="32" customFormat="1" x14ac:dyDescent="0.25">
      <c r="B882" s="39"/>
      <c r="D882" s="59"/>
      <c r="E882" s="68"/>
      <c r="F882" s="95"/>
      <c r="G882" s="21"/>
    </row>
    <row r="883" spans="2:7" s="32" customFormat="1" x14ac:dyDescent="0.25">
      <c r="B883" s="39"/>
      <c r="D883" s="59"/>
      <c r="E883" s="68"/>
      <c r="F883" s="95"/>
      <c r="G883" s="21"/>
    </row>
    <row r="884" spans="2:7" s="32" customFormat="1" x14ac:dyDescent="0.25">
      <c r="B884" s="39"/>
      <c r="D884" s="59"/>
      <c r="E884" s="68"/>
      <c r="F884" s="95"/>
      <c r="G884" s="21"/>
    </row>
    <row r="885" spans="2:7" s="32" customFormat="1" x14ac:dyDescent="0.25">
      <c r="B885" s="39"/>
      <c r="D885" s="59"/>
      <c r="E885" s="68"/>
      <c r="F885" s="95"/>
      <c r="G885" s="21"/>
    </row>
    <row r="886" spans="2:7" s="32" customFormat="1" x14ac:dyDescent="0.25">
      <c r="B886" s="39"/>
      <c r="D886" s="59"/>
      <c r="E886" s="68"/>
      <c r="F886" s="95"/>
      <c r="G886" s="21"/>
    </row>
    <row r="887" spans="2:7" s="32" customFormat="1" x14ac:dyDescent="0.25">
      <c r="B887" s="39"/>
      <c r="D887" s="59"/>
      <c r="E887" s="68"/>
      <c r="F887" s="95"/>
      <c r="G887" s="21"/>
    </row>
    <row r="888" spans="2:7" s="32" customFormat="1" x14ac:dyDescent="0.25">
      <c r="B888" s="39"/>
      <c r="D888" s="59"/>
      <c r="E888" s="68"/>
      <c r="F888" s="95"/>
      <c r="G888" s="21"/>
    </row>
    <row r="889" spans="2:7" s="32" customFormat="1" x14ac:dyDescent="0.25">
      <c r="B889" s="39"/>
      <c r="D889" s="59"/>
      <c r="E889" s="68"/>
      <c r="F889" s="95"/>
      <c r="G889" s="21"/>
    </row>
    <row r="890" spans="2:7" s="32" customFormat="1" x14ac:dyDescent="0.25">
      <c r="B890" s="39"/>
      <c r="D890" s="59"/>
      <c r="E890" s="68"/>
      <c r="F890" s="95"/>
      <c r="G890" s="21"/>
    </row>
    <row r="891" spans="2:7" s="32" customFormat="1" x14ac:dyDescent="0.25">
      <c r="B891" s="39"/>
      <c r="D891" s="59"/>
      <c r="E891" s="68"/>
      <c r="F891" s="95"/>
      <c r="G891" s="21"/>
    </row>
    <row r="892" spans="2:7" s="32" customFormat="1" x14ac:dyDescent="0.25">
      <c r="B892" s="39"/>
      <c r="D892" s="59"/>
      <c r="E892" s="68"/>
      <c r="F892" s="95"/>
      <c r="G892" s="21"/>
    </row>
    <row r="893" spans="2:7" s="32" customFormat="1" x14ac:dyDescent="0.25">
      <c r="B893" s="39"/>
      <c r="D893" s="59"/>
      <c r="E893" s="68"/>
      <c r="F893" s="95"/>
      <c r="G893" s="21"/>
    </row>
    <row r="894" spans="2:7" s="32" customFormat="1" x14ac:dyDescent="0.25">
      <c r="B894" s="39"/>
      <c r="D894" s="59"/>
      <c r="E894" s="68"/>
      <c r="F894" s="95"/>
      <c r="G894" s="21"/>
    </row>
    <row r="895" spans="2:7" s="32" customFormat="1" x14ac:dyDescent="0.25">
      <c r="B895" s="39"/>
      <c r="D895" s="59"/>
      <c r="E895" s="68"/>
      <c r="F895" s="95"/>
      <c r="G895" s="21"/>
    </row>
    <row r="896" spans="2:7" s="32" customFormat="1" x14ac:dyDescent="0.25">
      <c r="B896" s="39"/>
      <c r="D896" s="59"/>
      <c r="E896" s="68"/>
      <c r="F896" s="95"/>
      <c r="G896" s="21"/>
    </row>
    <row r="897" spans="2:7" s="32" customFormat="1" x14ac:dyDescent="0.25">
      <c r="B897" s="39"/>
      <c r="D897" s="59"/>
      <c r="E897" s="68"/>
      <c r="F897" s="95"/>
      <c r="G897" s="21"/>
    </row>
    <row r="898" spans="2:7" s="32" customFormat="1" x14ac:dyDescent="0.25">
      <c r="B898" s="39"/>
      <c r="D898" s="59"/>
      <c r="E898" s="68"/>
      <c r="F898" s="95"/>
      <c r="G898" s="21"/>
    </row>
    <row r="899" spans="2:7" s="32" customFormat="1" x14ac:dyDescent="0.25">
      <c r="B899" s="39"/>
      <c r="D899" s="59"/>
      <c r="E899" s="68"/>
      <c r="F899" s="95"/>
      <c r="G899" s="21"/>
    </row>
    <row r="900" spans="2:7" s="32" customFormat="1" x14ac:dyDescent="0.25">
      <c r="B900" s="39"/>
      <c r="D900" s="59"/>
      <c r="E900" s="68"/>
      <c r="F900" s="95"/>
      <c r="G900" s="21"/>
    </row>
    <row r="901" spans="2:7" s="32" customFormat="1" x14ac:dyDescent="0.25">
      <c r="B901" s="39"/>
      <c r="D901" s="59"/>
      <c r="E901" s="68"/>
      <c r="F901" s="95"/>
      <c r="G901" s="21"/>
    </row>
    <row r="902" spans="2:7" s="32" customFormat="1" x14ac:dyDescent="0.25">
      <c r="B902" s="39"/>
      <c r="D902" s="59"/>
      <c r="E902" s="68"/>
      <c r="F902" s="95"/>
      <c r="G902" s="21"/>
    </row>
    <row r="903" spans="2:7" s="32" customFormat="1" x14ac:dyDescent="0.25">
      <c r="B903" s="39"/>
      <c r="D903" s="59"/>
      <c r="E903" s="68"/>
      <c r="F903" s="95"/>
      <c r="G903" s="21"/>
    </row>
    <row r="904" spans="2:7" s="32" customFormat="1" x14ac:dyDescent="0.25">
      <c r="B904" s="39"/>
      <c r="D904" s="59"/>
      <c r="E904" s="68"/>
      <c r="F904" s="95"/>
      <c r="G904" s="21"/>
    </row>
    <row r="905" spans="2:7" s="32" customFormat="1" x14ac:dyDescent="0.25">
      <c r="B905" s="39"/>
      <c r="D905" s="59"/>
      <c r="E905" s="68"/>
      <c r="F905" s="95"/>
      <c r="G905" s="21"/>
    </row>
    <row r="906" spans="2:7" s="32" customFormat="1" x14ac:dyDescent="0.25">
      <c r="B906" s="39"/>
      <c r="D906" s="59"/>
      <c r="E906" s="68"/>
      <c r="F906" s="95"/>
      <c r="G906" s="21"/>
    </row>
    <row r="907" spans="2:7" s="32" customFormat="1" x14ac:dyDescent="0.25">
      <c r="B907" s="39"/>
      <c r="D907" s="59"/>
      <c r="E907" s="68"/>
      <c r="F907" s="95"/>
      <c r="G907" s="21"/>
    </row>
  </sheetData>
  <mergeCells count="16">
    <mergeCell ref="B6:E6"/>
    <mergeCell ref="A1:F1"/>
    <mergeCell ref="A2:F2"/>
    <mergeCell ref="A3:F3"/>
    <mergeCell ref="B4:E4"/>
    <mergeCell ref="A5:F5"/>
    <mergeCell ref="A13:F13"/>
    <mergeCell ref="B14:E14"/>
    <mergeCell ref="A15:F15"/>
    <mergeCell ref="B16:E16"/>
    <mergeCell ref="A7:F7"/>
    <mergeCell ref="B8:E8"/>
    <mergeCell ref="A9:F9"/>
    <mergeCell ref="B10:E10"/>
    <mergeCell ref="A11:F11"/>
    <mergeCell ref="B12:E12"/>
  </mergeCells>
  <pageMargins left="0.51181102362204722" right="0.39370078740157483" top="0.94488188976377963" bottom="0.74803149606299213" header="0.23622047244094491" footer="0.31496062992125984"/>
  <pageSetup paperSize="9" firstPageNumber="102"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I - Summary</oddHeader>
    <oddFooter>&amp;L&amp;"Arial,Regular"&amp;9Bill of Quantities&amp;R&amp;"Arial,Regular"&amp;9BOQ.&amp;P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D576E-E819-47EE-AB1E-95D21EFA395A}">
  <dimension ref="A1:O1077"/>
  <sheetViews>
    <sheetView view="pageBreakPreview" topLeftCell="A213" zoomScale="115" zoomScaleNormal="115" zoomScaleSheetLayoutView="115" workbookViewId="0">
      <selection activeCell="F219" sqref="F219"/>
    </sheetView>
  </sheetViews>
  <sheetFormatPr defaultColWidth="9.140625" defaultRowHeight="12" x14ac:dyDescent="0.25"/>
  <cols>
    <col min="1" max="1" width="7.5703125" style="315" customWidth="1"/>
    <col min="2" max="2" width="9.5703125" style="315" customWidth="1"/>
    <col min="3" max="3" width="35.28515625" style="358" customWidth="1"/>
    <col min="4" max="4" width="5" style="315" customWidth="1"/>
    <col min="5" max="5" width="6.85546875" style="321" customWidth="1"/>
    <col min="6" max="6" width="11.85546875" style="322" customWidth="1"/>
    <col min="7" max="7" width="16.5703125" style="366" customWidth="1"/>
    <col min="8" max="8" width="33.5703125" style="21" customWidth="1"/>
    <col min="9" max="9" width="11" style="21" bestFit="1" customWidth="1"/>
    <col min="10" max="16384" width="9.140625" style="21"/>
  </cols>
  <sheetData>
    <row r="1" spans="1:15" ht="15" customHeight="1" x14ac:dyDescent="0.25">
      <c r="A1" s="539" t="s">
        <v>947</v>
      </c>
      <c r="B1" s="528"/>
      <c r="C1" s="528"/>
      <c r="D1" s="528"/>
      <c r="E1" s="528"/>
      <c r="F1" s="528"/>
      <c r="G1" s="529"/>
    </row>
    <row r="2" spans="1:15" ht="27.75" customHeight="1" x14ac:dyDescent="0.25">
      <c r="A2" s="73" t="s">
        <v>1676</v>
      </c>
      <c r="B2" s="31" t="s">
        <v>21</v>
      </c>
      <c r="C2" s="148" t="s">
        <v>0</v>
      </c>
      <c r="D2" s="73" t="s">
        <v>1</v>
      </c>
      <c r="E2" s="74" t="s">
        <v>22</v>
      </c>
      <c r="F2" s="63" t="s">
        <v>2</v>
      </c>
      <c r="G2" s="73" t="s">
        <v>77</v>
      </c>
    </row>
    <row r="3" spans="1:15" ht="11.85" customHeight="1" x14ac:dyDescent="0.25">
      <c r="A3" s="422"/>
      <c r="B3" s="418"/>
      <c r="C3" s="438"/>
      <c r="D3" s="408"/>
      <c r="E3" s="439"/>
      <c r="F3" s="423"/>
      <c r="G3" s="440"/>
    </row>
    <row r="4" spans="1:15" ht="24" x14ac:dyDescent="0.25">
      <c r="A4" s="354" t="s">
        <v>2001</v>
      </c>
      <c r="B4" s="346" t="s">
        <v>14</v>
      </c>
      <c r="C4" s="347" t="s">
        <v>241</v>
      </c>
      <c r="D4" s="351"/>
      <c r="E4" s="349"/>
      <c r="F4" s="351"/>
      <c r="G4" s="350"/>
    </row>
    <row r="5" spans="1:15" ht="11.85" customHeight="1" x14ac:dyDescent="0.25">
      <c r="A5" s="441"/>
      <c r="B5" s="442"/>
      <c r="C5" s="443"/>
      <c r="D5" s="444"/>
      <c r="E5" s="445"/>
      <c r="F5" s="442"/>
      <c r="G5" s="446"/>
    </row>
    <row r="6" spans="1:15" ht="24" x14ac:dyDescent="0.25">
      <c r="A6" s="356" t="s">
        <v>2002</v>
      </c>
      <c r="B6" s="348" t="s">
        <v>242</v>
      </c>
      <c r="C6" s="50" t="s">
        <v>901</v>
      </c>
      <c r="D6" s="142" t="s">
        <v>88</v>
      </c>
      <c r="E6" s="349">
        <v>1500</v>
      </c>
      <c r="F6" s="361"/>
      <c r="G6" s="363"/>
      <c r="H6" s="164"/>
      <c r="O6" s="183"/>
    </row>
    <row r="7" spans="1:15" ht="11.85" customHeight="1" x14ac:dyDescent="0.25">
      <c r="A7" s="441"/>
      <c r="B7" s="442"/>
      <c r="C7" s="443"/>
      <c r="D7" s="444"/>
      <c r="E7" s="445"/>
      <c r="F7" s="442"/>
      <c r="G7" s="446"/>
    </row>
    <row r="8" spans="1:15" ht="24" x14ac:dyDescent="0.25">
      <c r="A8" s="356" t="s">
        <v>2003</v>
      </c>
      <c r="B8" s="348" t="s">
        <v>7</v>
      </c>
      <c r="C8" s="353" t="s">
        <v>902</v>
      </c>
      <c r="D8" s="348"/>
      <c r="E8" s="349"/>
      <c r="F8" s="362"/>
      <c r="G8" s="350"/>
    </row>
    <row r="9" spans="1:15" ht="11.85" customHeight="1" x14ac:dyDescent="0.25">
      <c r="A9" s="441"/>
      <c r="B9" s="442"/>
      <c r="C9" s="443"/>
      <c r="D9" s="444"/>
      <c r="E9" s="445"/>
      <c r="F9" s="442"/>
      <c r="G9" s="446"/>
    </row>
    <row r="10" spans="1:15" x14ac:dyDescent="0.25">
      <c r="A10" s="356" t="s">
        <v>2004</v>
      </c>
      <c r="B10" s="348"/>
      <c r="C10" s="353" t="s">
        <v>370</v>
      </c>
      <c r="D10" s="348" t="s">
        <v>8</v>
      </c>
      <c r="E10" s="349">
        <v>5</v>
      </c>
      <c r="F10" s="361"/>
      <c r="G10" s="363"/>
    </row>
    <row r="11" spans="1:15" ht="11.85" customHeight="1" x14ac:dyDescent="0.25">
      <c r="A11" s="441"/>
      <c r="B11" s="442"/>
      <c r="C11" s="443"/>
      <c r="D11" s="444"/>
      <c r="E11" s="445"/>
      <c r="F11" s="442"/>
      <c r="G11" s="446"/>
    </row>
    <row r="12" spans="1:15" ht="24" x14ac:dyDescent="0.25">
      <c r="A12" s="356" t="s">
        <v>2005</v>
      </c>
      <c r="B12" s="348" t="s">
        <v>2191</v>
      </c>
      <c r="C12" s="353" t="s">
        <v>903</v>
      </c>
      <c r="D12" s="142" t="s">
        <v>88</v>
      </c>
      <c r="E12" s="349">
        <v>20</v>
      </c>
      <c r="F12" s="361"/>
      <c r="G12" s="363"/>
    </row>
    <row r="13" spans="1:15" ht="11.85" customHeight="1" x14ac:dyDescent="0.25">
      <c r="A13" s="441"/>
      <c r="B13" s="442"/>
      <c r="C13" s="443"/>
      <c r="D13" s="444"/>
      <c r="E13" s="445"/>
      <c r="F13" s="442"/>
      <c r="G13" s="446"/>
    </row>
    <row r="14" spans="1:15" ht="36" x14ac:dyDescent="0.25">
      <c r="A14" s="356" t="s">
        <v>2006</v>
      </c>
      <c r="B14" s="348" t="s">
        <v>2147</v>
      </c>
      <c r="C14" s="353" t="s">
        <v>904</v>
      </c>
      <c r="D14" s="142" t="s">
        <v>87</v>
      </c>
      <c r="E14" s="349">
        <v>160</v>
      </c>
      <c r="F14" s="361"/>
      <c r="G14" s="363"/>
    </row>
    <row r="15" spans="1:15" ht="11.85" customHeight="1" x14ac:dyDescent="0.25">
      <c r="A15" s="441"/>
      <c r="B15" s="442"/>
      <c r="C15" s="443"/>
      <c r="D15" s="444"/>
      <c r="E15" s="445"/>
      <c r="F15" s="442"/>
      <c r="G15" s="446"/>
    </row>
    <row r="16" spans="1:15" ht="24" x14ac:dyDescent="0.25">
      <c r="A16" s="354" t="s">
        <v>2007</v>
      </c>
      <c r="B16" s="346" t="s">
        <v>244</v>
      </c>
      <c r="C16" s="347" t="s">
        <v>909</v>
      </c>
      <c r="D16" s="348"/>
      <c r="E16" s="349"/>
      <c r="F16" s="362"/>
      <c r="G16" s="350"/>
    </row>
    <row r="17" spans="1:9" ht="11.85" customHeight="1" x14ac:dyDescent="0.25">
      <c r="A17" s="441"/>
      <c r="B17" s="442"/>
      <c r="C17" s="443"/>
      <c r="D17" s="444"/>
      <c r="E17" s="445"/>
      <c r="F17" s="442"/>
      <c r="G17" s="446"/>
    </row>
    <row r="18" spans="1:9" ht="48" x14ac:dyDescent="0.25">
      <c r="A18" s="356" t="s">
        <v>2008</v>
      </c>
      <c r="B18" s="348" t="s">
        <v>2223</v>
      </c>
      <c r="C18" s="353" t="s">
        <v>2230</v>
      </c>
      <c r="D18" s="142" t="s">
        <v>87</v>
      </c>
      <c r="E18" s="349">
        <v>2500</v>
      </c>
      <c r="F18" s="361"/>
      <c r="G18" s="363"/>
      <c r="H18" s="164"/>
      <c r="I18" s="182"/>
    </row>
    <row r="19" spans="1:9" ht="11.85" customHeight="1" x14ac:dyDescent="0.25">
      <c r="A19" s="441"/>
      <c r="B19" s="442"/>
      <c r="C19" s="443"/>
      <c r="D19" s="444"/>
      <c r="E19" s="445"/>
      <c r="F19" s="442"/>
      <c r="G19" s="446"/>
    </row>
    <row r="20" spans="1:9" ht="36" x14ac:dyDescent="0.25">
      <c r="A20" s="356" t="s">
        <v>2009</v>
      </c>
      <c r="B20" s="348" t="s">
        <v>11</v>
      </c>
      <c r="C20" s="353" t="s">
        <v>905</v>
      </c>
      <c r="D20" s="142" t="s">
        <v>88</v>
      </c>
      <c r="E20" s="349">
        <v>200</v>
      </c>
      <c r="F20" s="361"/>
      <c r="G20" s="363"/>
    </row>
    <row r="21" spans="1:9" ht="11.85" customHeight="1" x14ac:dyDescent="0.25">
      <c r="A21" s="441"/>
      <c r="B21" s="442"/>
      <c r="C21" s="443"/>
      <c r="D21" s="444"/>
      <c r="E21" s="445"/>
      <c r="F21" s="442"/>
      <c r="G21" s="446"/>
    </row>
    <row r="22" spans="1:9" x14ac:dyDescent="0.25">
      <c r="A22" s="356" t="s">
        <v>2010</v>
      </c>
      <c r="B22" s="348" t="s">
        <v>11</v>
      </c>
      <c r="C22" s="353" t="s">
        <v>2224</v>
      </c>
      <c r="D22" s="348"/>
      <c r="E22" s="349"/>
      <c r="F22" s="362"/>
      <c r="G22" s="350"/>
    </row>
    <row r="23" spans="1:9" ht="11.85" customHeight="1" x14ac:dyDescent="0.25">
      <c r="A23" s="441"/>
      <c r="B23" s="442"/>
      <c r="C23" s="443"/>
      <c r="D23" s="444"/>
      <c r="E23" s="445"/>
      <c r="F23" s="442"/>
      <c r="G23" s="446"/>
    </row>
    <row r="24" spans="1:9" ht="13.5" x14ac:dyDescent="0.25">
      <c r="A24" s="356" t="s">
        <v>2011</v>
      </c>
      <c r="B24" s="348"/>
      <c r="C24" s="353" t="s">
        <v>291</v>
      </c>
      <c r="D24" s="210" t="s">
        <v>88</v>
      </c>
      <c r="E24" s="349">
        <v>55</v>
      </c>
      <c r="F24" s="361"/>
      <c r="G24" s="363"/>
    </row>
    <row r="25" spans="1:9" x14ac:dyDescent="0.25">
      <c r="A25" s="441"/>
      <c r="B25" s="442"/>
      <c r="C25" s="443"/>
      <c r="D25" s="444"/>
      <c r="E25" s="445"/>
      <c r="F25" s="442"/>
      <c r="G25" s="446"/>
    </row>
    <row r="26" spans="1:9" ht="13.5" x14ac:dyDescent="0.25">
      <c r="A26" s="356" t="s">
        <v>2012</v>
      </c>
      <c r="B26" s="348"/>
      <c r="C26" s="353" t="s">
        <v>290</v>
      </c>
      <c r="D26" s="210" t="s">
        <v>88</v>
      </c>
      <c r="E26" s="349">
        <v>10</v>
      </c>
      <c r="F26" s="361"/>
      <c r="G26" s="363"/>
    </row>
    <row r="27" spans="1:9" x14ac:dyDescent="0.25">
      <c r="A27" s="441"/>
      <c r="B27" s="442"/>
      <c r="C27" s="443"/>
      <c r="D27" s="444"/>
      <c r="E27" s="445"/>
      <c r="F27" s="442"/>
      <c r="G27" s="446"/>
    </row>
    <row r="28" spans="1:9" ht="36" x14ac:dyDescent="0.25">
      <c r="A28" s="356" t="s">
        <v>2013</v>
      </c>
      <c r="B28" s="348" t="s">
        <v>83</v>
      </c>
      <c r="C28" s="353" t="s">
        <v>906</v>
      </c>
      <c r="D28" s="210" t="s">
        <v>88</v>
      </c>
      <c r="E28" s="349">
        <v>3500</v>
      </c>
      <c r="F28" s="361"/>
      <c r="G28" s="363"/>
      <c r="I28" s="182" t="s">
        <v>948</v>
      </c>
    </row>
    <row r="29" spans="1:9" x14ac:dyDescent="0.25">
      <c r="A29" s="441"/>
      <c r="B29" s="442"/>
      <c r="C29" s="443"/>
      <c r="D29" s="444"/>
      <c r="E29" s="445"/>
      <c r="F29" s="442"/>
      <c r="G29" s="446"/>
    </row>
    <row r="30" spans="1:9" ht="24" x14ac:dyDescent="0.25">
      <c r="A30" s="356" t="s">
        <v>2014</v>
      </c>
      <c r="B30" s="348" t="s">
        <v>907</v>
      </c>
      <c r="C30" s="353" t="s">
        <v>287</v>
      </c>
      <c r="D30" s="142" t="s">
        <v>87</v>
      </c>
      <c r="E30" s="349">
        <v>2500</v>
      </c>
      <c r="F30" s="361"/>
      <c r="G30" s="363"/>
      <c r="I30" s="182"/>
    </row>
    <row r="31" spans="1:9" x14ac:dyDescent="0.25">
      <c r="A31" s="441"/>
      <c r="B31" s="442"/>
      <c r="C31" s="443"/>
      <c r="D31" s="444"/>
      <c r="E31" s="445"/>
      <c r="F31" s="442"/>
      <c r="G31" s="446"/>
    </row>
    <row r="32" spans="1:9" ht="36" x14ac:dyDescent="0.25">
      <c r="A32" s="356" t="s">
        <v>2015</v>
      </c>
      <c r="B32" s="348" t="s">
        <v>286</v>
      </c>
      <c r="C32" s="353" t="s">
        <v>285</v>
      </c>
      <c r="D32" s="142" t="s">
        <v>87</v>
      </c>
      <c r="E32" s="349">
        <v>2500</v>
      </c>
      <c r="F32" s="361"/>
      <c r="G32" s="363"/>
      <c r="I32" s="182" t="s">
        <v>949</v>
      </c>
    </row>
    <row r="33" spans="1:7" x14ac:dyDescent="0.25">
      <c r="A33" s="441"/>
      <c r="B33" s="442"/>
      <c r="C33" s="443"/>
      <c r="D33" s="444"/>
      <c r="E33" s="445"/>
      <c r="F33" s="442"/>
      <c r="G33" s="446"/>
    </row>
    <row r="34" spans="1:7" ht="55.9" customHeight="1" x14ac:dyDescent="0.25">
      <c r="A34" s="355" t="s">
        <v>2016</v>
      </c>
      <c r="B34" s="351" t="s">
        <v>2225</v>
      </c>
      <c r="C34" s="357" t="s">
        <v>908</v>
      </c>
      <c r="D34" s="142" t="s">
        <v>87</v>
      </c>
      <c r="E34" s="349">
        <v>3000</v>
      </c>
      <c r="F34" s="351"/>
      <c r="G34" s="363"/>
    </row>
    <row r="35" spans="1:7" x14ac:dyDescent="0.25">
      <c r="A35" s="441"/>
      <c r="B35" s="442"/>
      <c r="C35" s="443"/>
      <c r="D35" s="444"/>
      <c r="E35" s="445"/>
      <c r="F35" s="442"/>
      <c r="G35" s="446"/>
    </row>
    <row r="36" spans="1:7" x14ac:dyDescent="0.25">
      <c r="A36" s="246"/>
      <c r="B36" s="229"/>
      <c r="C36" s="119"/>
      <c r="D36" s="142"/>
      <c r="E36" s="241"/>
      <c r="F36" s="242"/>
      <c r="G36" s="365"/>
    </row>
    <row r="37" spans="1:7" x14ac:dyDescent="0.25">
      <c r="A37" s="441"/>
      <c r="B37" s="442"/>
      <c r="C37" s="443"/>
      <c r="D37" s="444"/>
      <c r="E37" s="445"/>
      <c r="F37" s="442"/>
      <c r="G37" s="446"/>
    </row>
    <row r="38" spans="1:7" ht="28.5" customHeight="1" x14ac:dyDescent="0.25">
      <c r="A38" s="526" t="s">
        <v>609</v>
      </c>
      <c r="B38" s="526"/>
      <c r="C38" s="526"/>
      <c r="D38" s="526"/>
      <c r="E38" s="526"/>
      <c r="F38" s="526"/>
      <c r="G38" s="158"/>
    </row>
    <row r="39" spans="1:7" ht="28.5" customHeight="1" x14ac:dyDescent="0.25">
      <c r="A39" s="526" t="s">
        <v>610</v>
      </c>
      <c r="B39" s="526"/>
      <c r="C39" s="526"/>
      <c r="D39" s="526"/>
      <c r="E39" s="526"/>
      <c r="F39" s="526"/>
      <c r="G39" s="158"/>
    </row>
    <row r="40" spans="1:7" x14ac:dyDescent="0.25">
      <c r="A40" s="441"/>
      <c r="B40" s="442"/>
      <c r="C40" s="443"/>
      <c r="D40" s="444"/>
      <c r="E40" s="445"/>
      <c r="F40" s="442"/>
      <c r="G40" s="446"/>
    </row>
    <row r="41" spans="1:7" ht="24" x14ac:dyDescent="0.25">
      <c r="A41" s="354" t="s">
        <v>2017</v>
      </c>
      <c r="B41" s="346" t="s">
        <v>627</v>
      </c>
      <c r="C41" s="347" t="s">
        <v>910</v>
      </c>
      <c r="D41" s="348"/>
      <c r="E41" s="349"/>
      <c r="F41" s="362"/>
      <c r="G41" s="350"/>
    </row>
    <row r="42" spans="1:7" ht="11.85" customHeight="1" x14ac:dyDescent="0.25">
      <c r="A42" s="441"/>
      <c r="B42" s="442"/>
      <c r="C42" s="443"/>
      <c r="D42" s="444"/>
      <c r="E42" s="445"/>
      <c r="F42" s="442"/>
      <c r="G42" s="446"/>
    </row>
    <row r="43" spans="1:7" ht="11.85" customHeight="1" x14ac:dyDescent="0.25">
      <c r="A43" s="355"/>
      <c r="B43" s="472" t="s">
        <v>629</v>
      </c>
      <c r="C43" s="471" t="s">
        <v>634</v>
      </c>
      <c r="D43" s="352"/>
      <c r="E43" s="349"/>
      <c r="F43" s="351"/>
      <c r="G43" s="360"/>
    </row>
    <row r="44" spans="1:7" ht="11.85" customHeight="1" x14ac:dyDescent="0.25">
      <c r="A44" s="441"/>
      <c r="B44" s="442"/>
      <c r="C44" s="443"/>
      <c r="D44" s="444"/>
      <c r="E44" s="445"/>
      <c r="F44" s="442"/>
      <c r="G44" s="446"/>
    </row>
    <row r="45" spans="1:7" ht="73.5" customHeight="1" x14ac:dyDescent="0.25">
      <c r="A45" s="474" t="s">
        <v>2018</v>
      </c>
      <c r="B45" s="348"/>
      <c r="C45" s="473" t="s">
        <v>2226</v>
      </c>
      <c r="D45" s="348"/>
      <c r="E45" s="349"/>
      <c r="F45" s="362"/>
      <c r="G45" s="350"/>
    </row>
    <row r="46" spans="1:7" ht="11.85" customHeight="1" x14ac:dyDescent="0.25">
      <c r="A46" s="441"/>
      <c r="B46" s="442"/>
      <c r="C46" s="443"/>
      <c r="D46" s="444"/>
      <c r="E46" s="445"/>
      <c r="F46" s="442"/>
      <c r="G46" s="446"/>
    </row>
    <row r="47" spans="1:7" x14ac:dyDescent="0.25">
      <c r="A47" s="356" t="s">
        <v>2019</v>
      </c>
      <c r="B47" s="348"/>
      <c r="C47" s="353" t="s">
        <v>307</v>
      </c>
      <c r="D47" s="348" t="s">
        <v>6</v>
      </c>
      <c r="E47" s="349">
        <v>30</v>
      </c>
      <c r="F47" s="361"/>
      <c r="G47" s="363"/>
    </row>
    <row r="48" spans="1:7" ht="11.85" customHeight="1" x14ac:dyDescent="0.25">
      <c r="A48" s="441"/>
      <c r="B48" s="442"/>
      <c r="C48" s="443"/>
      <c r="D48" s="444"/>
      <c r="E48" s="445"/>
      <c r="F48" s="442"/>
      <c r="G48" s="446"/>
    </row>
    <row r="49" spans="1:7" x14ac:dyDescent="0.25">
      <c r="A49" s="356" t="s">
        <v>2020</v>
      </c>
      <c r="B49" s="348"/>
      <c r="C49" s="353" t="s">
        <v>306</v>
      </c>
      <c r="D49" s="348" t="s">
        <v>6</v>
      </c>
      <c r="E49" s="349">
        <v>180</v>
      </c>
      <c r="F49" s="361"/>
      <c r="G49" s="363"/>
    </row>
    <row r="50" spans="1:7" ht="11.85" customHeight="1" x14ac:dyDescent="0.25">
      <c r="A50" s="441"/>
      <c r="B50" s="442"/>
      <c r="C50" s="443"/>
      <c r="D50" s="444"/>
      <c r="E50" s="445"/>
      <c r="F50" s="442"/>
      <c r="G50" s="446"/>
    </row>
    <row r="51" spans="1:7" ht="72" customHeight="1" x14ac:dyDescent="0.25">
      <c r="A51" s="474" t="s">
        <v>2021</v>
      </c>
      <c r="B51" s="475"/>
      <c r="C51" s="473" t="s">
        <v>2227</v>
      </c>
      <c r="D51" s="348"/>
      <c r="E51" s="349"/>
      <c r="F51" s="362"/>
      <c r="G51" s="350"/>
    </row>
    <row r="52" spans="1:7" ht="11.85" customHeight="1" x14ac:dyDescent="0.25">
      <c r="A52" s="441"/>
      <c r="B52" s="442"/>
      <c r="C52" s="443"/>
      <c r="D52" s="444"/>
      <c r="E52" s="445"/>
      <c r="F52" s="442"/>
      <c r="G52" s="446"/>
    </row>
    <row r="53" spans="1:7" x14ac:dyDescent="0.25">
      <c r="A53" s="356" t="s">
        <v>2022</v>
      </c>
      <c r="B53" s="348"/>
      <c r="C53" s="353" t="s">
        <v>307</v>
      </c>
      <c r="D53" s="348" t="s">
        <v>6</v>
      </c>
      <c r="E53" s="349">
        <v>20</v>
      </c>
      <c r="F53" s="361"/>
      <c r="G53" s="363"/>
    </row>
    <row r="54" spans="1:7" ht="11.85" customHeight="1" x14ac:dyDescent="0.25">
      <c r="A54" s="441"/>
      <c r="B54" s="442"/>
      <c r="C54" s="443"/>
      <c r="D54" s="444"/>
      <c r="E54" s="445"/>
      <c r="F54" s="442"/>
      <c r="G54" s="446"/>
    </row>
    <row r="55" spans="1:7" x14ac:dyDescent="0.25">
      <c r="A55" s="356" t="s">
        <v>2023</v>
      </c>
      <c r="B55" s="348"/>
      <c r="C55" s="353" t="s">
        <v>306</v>
      </c>
      <c r="D55" s="348" t="s">
        <v>6</v>
      </c>
      <c r="E55" s="349">
        <v>320</v>
      </c>
      <c r="F55" s="361"/>
      <c r="G55" s="363"/>
    </row>
    <row r="56" spans="1:7" ht="11.85" customHeight="1" x14ac:dyDescent="0.25">
      <c r="A56" s="441"/>
      <c r="B56" s="442"/>
      <c r="C56" s="443"/>
      <c r="D56" s="444"/>
      <c r="E56" s="445"/>
      <c r="F56" s="442"/>
      <c r="G56" s="446"/>
    </row>
    <row r="57" spans="1:7" ht="11.85" customHeight="1" x14ac:dyDescent="0.25">
      <c r="A57" s="356" t="s">
        <v>2024</v>
      </c>
      <c r="B57" s="348"/>
      <c r="C57" s="353" t="s">
        <v>385</v>
      </c>
      <c r="D57" s="348" t="s">
        <v>6</v>
      </c>
      <c r="E57" s="349">
        <v>10</v>
      </c>
      <c r="F57" s="361"/>
      <c r="G57" s="363"/>
    </row>
    <row r="58" spans="1:7" ht="11.85" customHeight="1" x14ac:dyDescent="0.25">
      <c r="A58" s="441"/>
      <c r="B58" s="442"/>
      <c r="C58" s="443"/>
      <c r="D58" s="444"/>
      <c r="E58" s="445"/>
      <c r="F58" s="442"/>
      <c r="G58" s="446"/>
    </row>
    <row r="59" spans="1:7" ht="74.25" customHeight="1" x14ac:dyDescent="0.25">
      <c r="A59" s="474" t="s">
        <v>2025</v>
      </c>
      <c r="B59" s="475"/>
      <c r="C59" s="473" t="s">
        <v>2228</v>
      </c>
      <c r="D59" s="348"/>
      <c r="E59" s="349"/>
      <c r="F59" s="362"/>
      <c r="G59" s="350"/>
    </row>
    <row r="60" spans="1:7" ht="11.85" customHeight="1" x14ac:dyDescent="0.25">
      <c r="A60" s="441"/>
      <c r="B60" s="442"/>
      <c r="C60" s="443"/>
      <c r="D60" s="444"/>
      <c r="E60" s="445"/>
      <c r="F60" s="442"/>
      <c r="G60" s="446"/>
    </row>
    <row r="61" spans="1:7" ht="11.85" customHeight="1" x14ac:dyDescent="0.25">
      <c r="A61" s="356" t="s">
        <v>2026</v>
      </c>
      <c r="B61" s="348"/>
      <c r="C61" s="353" t="s">
        <v>307</v>
      </c>
      <c r="D61" s="348" t="s">
        <v>6</v>
      </c>
      <c r="E61" s="349">
        <v>5</v>
      </c>
      <c r="F61" s="361"/>
      <c r="G61" s="363"/>
    </row>
    <row r="62" spans="1:7" ht="11.85" customHeight="1" x14ac:dyDescent="0.25">
      <c r="A62" s="441"/>
      <c r="B62" s="442"/>
      <c r="C62" s="443"/>
      <c r="D62" s="444"/>
      <c r="E62" s="445"/>
      <c r="F62" s="442"/>
      <c r="G62" s="446"/>
    </row>
    <row r="63" spans="1:7" x14ac:dyDescent="0.25">
      <c r="A63" s="356" t="s">
        <v>2027</v>
      </c>
      <c r="B63" s="348"/>
      <c r="C63" s="353" t="s">
        <v>306</v>
      </c>
      <c r="D63" s="348" t="s">
        <v>6</v>
      </c>
      <c r="E63" s="349">
        <v>10</v>
      </c>
      <c r="F63" s="361"/>
      <c r="G63" s="363"/>
    </row>
    <row r="64" spans="1:7" ht="11.85" customHeight="1" x14ac:dyDescent="0.25">
      <c r="A64" s="441"/>
      <c r="B64" s="442"/>
      <c r="C64" s="443"/>
      <c r="D64" s="444"/>
      <c r="E64" s="445"/>
      <c r="F64" s="442"/>
      <c r="G64" s="446"/>
    </row>
    <row r="65" spans="1:7" ht="24" x14ac:dyDescent="0.25">
      <c r="A65" s="474" t="s">
        <v>2028</v>
      </c>
      <c r="B65" s="475"/>
      <c r="C65" s="473" t="s">
        <v>2229</v>
      </c>
      <c r="D65" s="348"/>
      <c r="E65" s="349"/>
      <c r="F65" s="362"/>
      <c r="G65" s="350"/>
    </row>
    <row r="66" spans="1:7" ht="11.85" customHeight="1" x14ac:dyDescent="0.25">
      <c r="A66" s="441"/>
      <c r="B66" s="442"/>
      <c r="C66" s="443"/>
      <c r="D66" s="444"/>
      <c r="E66" s="445"/>
      <c r="F66" s="442"/>
      <c r="G66" s="446"/>
    </row>
    <row r="67" spans="1:7" ht="13.5" x14ac:dyDescent="0.25">
      <c r="A67" s="356" t="s">
        <v>2029</v>
      </c>
      <c r="B67" s="348"/>
      <c r="C67" s="353" t="s">
        <v>304</v>
      </c>
      <c r="D67" s="210" t="s">
        <v>88</v>
      </c>
      <c r="E67" s="349">
        <v>100</v>
      </c>
      <c r="F67" s="361"/>
      <c r="G67" s="363"/>
    </row>
    <row r="68" spans="1:7" ht="11.85" customHeight="1" x14ac:dyDescent="0.25">
      <c r="A68" s="441"/>
      <c r="B68" s="442"/>
      <c r="C68" s="443"/>
      <c r="D68" s="444"/>
      <c r="E68" s="445"/>
      <c r="F68" s="442"/>
      <c r="G68" s="446"/>
    </row>
    <row r="69" spans="1:7" ht="13.5" x14ac:dyDescent="0.25">
      <c r="A69" s="356" t="s">
        <v>2030</v>
      </c>
      <c r="B69" s="348"/>
      <c r="C69" s="353" t="s">
        <v>290</v>
      </c>
      <c r="D69" s="210" t="s">
        <v>88</v>
      </c>
      <c r="E69" s="349">
        <v>60</v>
      </c>
      <c r="F69" s="361"/>
      <c r="G69" s="363"/>
    </row>
    <row r="70" spans="1:7" ht="11.85" customHeight="1" x14ac:dyDescent="0.25">
      <c r="A70" s="441"/>
      <c r="B70" s="442"/>
      <c r="C70" s="443"/>
      <c r="D70" s="444"/>
      <c r="E70" s="445"/>
      <c r="F70" s="442"/>
      <c r="G70" s="446"/>
    </row>
    <row r="71" spans="1:7" ht="11.85" customHeight="1" x14ac:dyDescent="0.25">
      <c r="A71" s="356"/>
      <c r="B71" s="348"/>
      <c r="C71" s="353"/>
      <c r="D71" s="348"/>
      <c r="E71" s="349"/>
      <c r="F71" s="362"/>
      <c r="G71" s="350"/>
    </row>
    <row r="72" spans="1:7" ht="11.85" customHeight="1" x14ac:dyDescent="0.25">
      <c r="A72" s="441"/>
      <c r="B72" s="442"/>
      <c r="C72" s="443"/>
      <c r="D72" s="444"/>
      <c r="E72" s="445"/>
      <c r="F72" s="442"/>
      <c r="G72" s="446"/>
    </row>
    <row r="73" spans="1:7" ht="11.85" customHeight="1" x14ac:dyDescent="0.25">
      <c r="A73" s="356"/>
      <c r="B73" s="348"/>
      <c r="C73" s="353"/>
      <c r="D73" s="348"/>
      <c r="E73" s="349"/>
      <c r="F73" s="362"/>
      <c r="G73" s="350"/>
    </row>
    <row r="74" spans="1:7" ht="11.85" customHeight="1" x14ac:dyDescent="0.25">
      <c r="A74" s="441"/>
      <c r="B74" s="442"/>
      <c r="C74" s="443"/>
      <c r="D74" s="444"/>
      <c r="E74" s="445"/>
      <c r="F74" s="442"/>
      <c r="G74" s="446"/>
    </row>
    <row r="75" spans="1:7" ht="11.85" customHeight="1" x14ac:dyDescent="0.25">
      <c r="A75" s="356"/>
      <c r="B75" s="348"/>
      <c r="C75" s="353"/>
      <c r="D75" s="348"/>
      <c r="E75" s="349"/>
      <c r="F75" s="362"/>
      <c r="G75" s="350"/>
    </row>
    <row r="76" spans="1:7" ht="25.9" customHeight="1" x14ac:dyDescent="0.25">
      <c r="A76" s="539" t="s">
        <v>609</v>
      </c>
      <c r="B76" s="528"/>
      <c r="C76" s="528"/>
      <c r="D76" s="528"/>
      <c r="E76" s="528"/>
      <c r="F76" s="529"/>
      <c r="G76" s="158"/>
    </row>
    <row r="77" spans="1:7" ht="28.5" customHeight="1" x14ac:dyDescent="0.25">
      <c r="A77" s="539" t="s">
        <v>610</v>
      </c>
      <c r="B77" s="528"/>
      <c r="C77" s="528"/>
      <c r="D77" s="528"/>
      <c r="E77" s="528"/>
      <c r="F77" s="529"/>
      <c r="G77" s="158"/>
    </row>
    <row r="78" spans="1:7" x14ac:dyDescent="0.25">
      <c r="A78" s="441"/>
      <c r="B78" s="442"/>
      <c r="C78" s="443"/>
      <c r="D78" s="444"/>
      <c r="E78" s="445"/>
      <c r="F78" s="442"/>
      <c r="G78" s="446"/>
    </row>
    <row r="79" spans="1:7" ht="11.85" customHeight="1" x14ac:dyDescent="0.25">
      <c r="A79" s="354" t="s">
        <v>2031</v>
      </c>
      <c r="B79" s="346" t="s">
        <v>18</v>
      </c>
      <c r="C79" s="347" t="s">
        <v>171</v>
      </c>
      <c r="D79" s="348"/>
      <c r="E79" s="349"/>
      <c r="F79" s="362"/>
      <c r="G79" s="350"/>
    </row>
    <row r="80" spans="1:7" ht="11.85" customHeight="1" x14ac:dyDescent="0.25">
      <c r="A80" s="441"/>
      <c r="B80" s="442"/>
      <c r="C80" s="443"/>
      <c r="D80" s="444"/>
      <c r="E80" s="445"/>
      <c r="F80" s="442"/>
      <c r="G80" s="446"/>
    </row>
    <row r="81" spans="1:8" ht="11.85" customHeight="1" x14ac:dyDescent="0.25">
      <c r="A81" s="356"/>
      <c r="B81" s="475" t="s">
        <v>156</v>
      </c>
      <c r="C81" s="473" t="s">
        <v>19</v>
      </c>
      <c r="D81" s="348"/>
      <c r="E81" s="349"/>
      <c r="F81" s="362"/>
      <c r="G81" s="350"/>
    </row>
    <row r="82" spans="1:8" ht="11.85" customHeight="1" x14ac:dyDescent="0.25">
      <c r="A82" s="441"/>
      <c r="B82" s="442"/>
      <c r="C82" s="443"/>
      <c r="D82" s="444"/>
      <c r="E82" s="445"/>
      <c r="F82" s="442"/>
      <c r="G82" s="446"/>
    </row>
    <row r="83" spans="1:8" ht="36" x14ac:dyDescent="0.25">
      <c r="A83" s="356" t="s">
        <v>2032</v>
      </c>
      <c r="B83" s="348"/>
      <c r="C83" s="353" t="s">
        <v>301</v>
      </c>
      <c r="D83" s="210" t="s">
        <v>88</v>
      </c>
      <c r="E83" s="349">
        <v>100</v>
      </c>
      <c r="F83" s="361"/>
      <c r="G83" s="363"/>
    </row>
    <row r="84" spans="1:8" ht="11.85" customHeight="1" x14ac:dyDescent="0.25">
      <c r="A84" s="441"/>
      <c r="B84" s="442"/>
      <c r="C84" s="443"/>
      <c r="D84" s="444"/>
      <c r="E84" s="445"/>
      <c r="F84" s="442"/>
      <c r="G84" s="446"/>
    </row>
    <row r="85" spans="1:8" ht="24" x14ac:dyDescent="0.25">
      <c r="A85" s="354" t="s">
        <v>2033</v>
      </c>
      <c r="B85" s="346" t="s">
        <v>836</v>
      </c>
      <c r="C85" s="347" t="s">
        <v>283</v>
      </c>
      <c r="D85" s="348"/>
      <c r="E85" s="349"/>
      <c r="F85" s="362"/>
      <c r="G85" s="350"/>
    </row>
    <row r="86" spans="1:8" x14ac:dyDescent="0.25">
      <c r="A86" s="441"/>
      <c r="B86" s="442"/>
      <c r="C86" s="443"/>
      <c r="D86" s="444"/>
      <c r="E86" s="445"/>
      <c r="F86" s="442"/>
      <c r="G86" s="446"/>
    </row>
    <row r="87" spans="1:8" ht="11.85" customHeight="1" x14ac:dyDescent="0.25">
      <c r="A87" s="354" t="s">
        <v>2034</v>
      </c>
      <c r="B87" s="346" t="s">
        <v>5</v>
      </c>
      <c r="C87" s="347" t="s">
        <v>911</v>
      </c>
      <c r="D87" s="142"/>
      <c r="E87" s="349"/>
      <c r="F87" s="361"/>
      <c r="G87" s="363"/>
      <c r="H87" s="164" t="s">
        <v>934</v>
      </c>
    </row>
    <row r="88" spans="1:8" ht="11.85" customHeight="1" x14ac:dyDescent="0.25">
      <c r="A88" s="441"/>
      <c r="B88" s="442"/>
      <c r="C88" s="443"/>
      <c r="D88" s="444"/>
      <c r="E88" s="445"/>
      <c r="F88" s="442"/>
      <c r="G88" s="446"/>
    </row>
    <row r="89" spans="1:8" ht="24" x14ac:dyDescent="0.25">
      <c r="A89" s="355" t="s">
        <v>2233</v>
      </c>
      <c r="B89" s="351"/>
      <c r="C89" s="353" t="s">
        <v>2231</v>
      </c>
      <c r="D89" s="142" t="s">
        <v>87</v>
      </c>
      <c r="E89" s="349">
        <v>46</v>
      </c>
      <c r="F89" s="361"/>
      <c r="G89" s="476"/>
    </row>
    <row r="90" spans="1:8" ht="11.85" customHeight="1" x14ac:dyDescent="0.25">
      <c r="A90" s="441"/>
      <c r="B90" s="442"/>
      <c r="C90" s="443"/>
      <c r="D90" s="444"/>
      <c r="E90" s="445"/>
      <c r="F90" s="442"/>
      <c r="G90" s="446"/>
    </row>
    <row r="91" spans="1:8" ht="24" x14ac:dyDescent="0.25">
      <c r="A91" s="355" t="s">
        <v>2234</v>
      </c>
      <c r="B91" s="351"/>
      <c r="C91" s="353" t="s">
        <v>2232</v>
      </c>
      <c r="D91" s="142" t="s">
        <v>87</v>
      </c>
      <c r="E91" s="349">
        <v>46</v>
      </c>
      <c r="F91" s="361"/>
      <c r="G91" s="476"/>
    </row>
    <row r="92" spans="1:8" ht="11.85" customHeight="1" x14ac:dyDescent="0.25">
      <c r="A92" s="441"/>
      <c r="B92" s="442"/>
      <c r="C92" s="443"/>
      <c r="D92" s="444"/>
      <c r="E92" s="445"/>
      <c r="F92" s="442"/>
      <c r="G92" s="446"/>
    </row>
    <row r="93" spans="1:8" ht="60" x14ac:dyDescent="0.25">
      <c r="A93" s="354" t="s">
        <v>2035</v>
      </c>
      <c r="B93" s="346" t="s">
        <v>7</v>
      </c>
      <c r="C93" s="347" t="s">
        <v>281</v>
      </c>
      <c r="D93" s="348"/>
      <c r="E93" s="349"/>
      <c r="F93" s="362"/>
      <c r="G93" s="350"/>
    </row>
    <row r="94" spans="1:8" ht="11.85" customHeight="1" x14ac:dyDescent="0.25">
      <c r="A94" s="441"/>
      <c r="B94" s="442"/>
      <c r="C94" s="443"/>
      <c r="D94" s="444"/>
      <c r="E94" s="445"/>
      <c r="F94" s="442"/>
      <c r="G94" s="446"/>
    </row>
    <row r="95" spans="1:8" ht="13.5" x14ac:dyDescent="0.25">
      <c r="A95" s="356" t="s">
        <v>2036</v>
      </c>
      <c r="B95" s="348"/>
      <c r="C95" s="353" t="s">
        <v>280</v>
      </c>
      <c r="D95" s="210" t="s">
        <v>88</v>
      </c>
      <c r="E95" s="349">
        <v>40</v>
      </c>
      <c r="F95" s="361"/>
      <c r="G95" s="363"/>
    </row>
    <row r="96" spans="1:8" ht="11.85" customHeight="1" x14ac:dyDescent="0.25">
      <c r="A96" s="441"/>
      <c r="B96" s="442"/>
      <c r="C96" s="443"/>
      <c r="D96" s="444"/>
      <c r="E96" s="445"/>
      <c r="F96" s="442"/>
      <c r="G96" s="446"/>
    </row>
    <row r="97" spans="1:9" ht="13.5" x14ac:dyDescent="0.25">
      <c r="A97" s="356" t="s">
        <v>2037</v>
      </c>
      <c r="B97" s="348"/>
      <c r="C97" s="353" t="s">
        <v>279</v>
      </c>
      <c r="D97" s="210" t="s">
        <v>88</v>
      </c>
      <c r="E97" s="349">
        <v>70</v>
      </c>
      <c r="F97" s="361"/>
      <c r="G97" s="363"/>
    </row>
    <row r="98" spans="1:9" ht="11.85" customHeight="1" x14ac:dyDescent="0.25">
      <c r="A98" s="441"/>
      <c r="B98" s="442"/>
      <c r="C98" s="443"/>
      <c r="D98" s="444"/>
      <c r="E98" s="445"/>
      <c r="F98" s="442"/>
      <c r="G98" s="446"/>
    </row>
    <row r="99" spans="1:9" ht="13.5" x14ac:dyDescent="0.25">
      <c r="A99" s="356" t="s">
        <v>2038</v>
      </c>
      <c r="B99" s="348"/>
      <c r="C99" s="353" t="s">
        <v>276</v>
      </c>
      <c r="D99" s="210" t="s">
        <v>88</v>
      </c>
      <c r="E99" s="349">
        <v>20</v>
      </c>
      <c r="F99" s="361"/>
      <c r="G99" s="363"/>
    </row>
    <row r="100" spans="1:9" ht="11.85" customHeight="1" x14ac:dyDescent="0.25">
      <c r="A100" s="441"/>
      <c r="B100" s="442"/>
      <c r="C100" s="443"/>
      <c r="D100" s="444"/>
      <c r="E100" s="445"/>
      <c r="F100" s="442"/>
      <c r="G100" s="446"/>
    </row>
    <row r="101" spans="1:9" ht="36" x14ac:dyDescent="0.25">
      <c r="A101" s="356" t="s">
        <v>2039</v>
      </c>
      <c r="B101" s="348" t="s">
        <v>205</v>
      </c>
      <c r="C101" s="353" t="s">
        <v>950</v>
      </c>
      <c r="D101" s="142" t="s">
        <v>87</v>
      </c>
      <c r="E101" s="349">
        <v>180</v>
      </c>
      <c r="F101" s="361"/>
      <c r="G101" s="363"/>
      <c r="I101" s="120" t="s">
        <v>951</v>
      </c>
    </row>
    <row r="102" spans="1:9" x14ac:dyDescent="0.25">
      <c r="A102" s="441"/>
      <c r="B102" s="442"/>
      <c r="C102" s="443"/>
      <c r="D102" s="444"/>
      <c r="E102" s="445"/>
      <c r="F102" s="442"/>
      <c r="G102" s="446"/>
    </row>
    <row r="103" spans="1:9" ht="24" x14ac:dyDescent="0.25">
      <c r="A103" s="354" t="s">
        <v>2040</v>
      </c>
      <c r="B103" s="346" t="s">
        <v>933</v>
      </c>
      <c r="C103" s="347" t="s">
        <v>914</v>
      </c>
      <c r="D103" s="348"/>
      <c r="E103" s="349"/>
      <c r="F103" s="362"/>
      <c r="G103" s="350"/>
    </row>
    <row r="104" spans="1:9" x14ac:dyDescent="0.25">
      <c r="A104" s="441"/>
      <c r="B104" s="442"/>
      <c r="C104" s="443"/>
      <c r="D104" s="444"/>
      <c r="E104" s="445"/>
      <c r="F104" s="442"/>
      <c r="G104" s="446"/>
    </row>
    <row r="105" spans="1:9" ht="24" x14ac:dyDescent="0.25">
      <c r="A105" s="356" t="s">
        <v>2041</v>
      </c>
      <c r="B105" s="348" t="s">
        <v>5</v>
      </c>
      <c r="C105" s="353" t="s">
        <v>912</v>
      </c>
      <c r="D105" s="142" t="s">
        <v>87</v>
      </c>
      <c r="E105" s="349">
        <v>300</v>
      </c>
      <c r="F105" s="361"/>
      <c r="G105" s="350"/>
    </row>
    <row r="106" spans="1:9" ht="11.85" customHeight="1" x14ac:dyDescent="0.25">
      <c r="A106" s="441"/>
      <c r="B106" s="442"/>
      <c r="C106" s="443"/>
      <c r="D106" s="444"/>
      <c r="E106" s="445"/>
      <c r="F106" s="442"/>
      <c r="G106" s="446"/>
    </row>
    <row r="107" spans="1:9" ht="13.5" x14ac:dyDescent="0.25">
      <c r="A107" s="356" t="s">
        <v>2042</v>
      </c>
      <c r="B107" s="348" t="s">
        <v>477</v>
      </c>
      <c r="C107" s="353" t="s">
        <v>2235</v>
      </c>
      <c r="D107" s="142" t="s">
        <v>87</v>
      </c>
      <c r="E107" s="349">
        <v>320</v>
      </c>
      <c r="F107" s="362"/>
      <c r="G107" s="350"/>
    </row>
    <row r="108" spans="1:9" ht="11.85" customHeight="1" x14ac:dyDescent="0.25">
      <c r="A108" s="441"/>
      <c r="B108" s="442"/>
      <c r="C108" s="443"/>
      <c r="D108" s="444"/>
      <c r="E108" s="445"/>
      <c r="F108" s="442"/>
      <c r="G108" s="446"/>
    </row>
    <row r="109" spans="1:9" ht="13.5" x14ac:dyDescent="0.25">
      <c r="A109" s="356" t="s">
        <v>2043</v>
      </c>
      <c r="B109" s="348" t="s">
        <v>94</v>
      </c>
      <c r="C109" s="353" t="s">
        <v>2236</v>
      </c>
      <c r="D109" s="210" t="s">
        <v>88</v>
      </c>
      <c r="E109" s="349">
        <v>120</v>
      </c>
      <c r="F109" s="361"/>
      <c r="G109" s="350"/>
    </row>
    <row r="110" spans="1:9" ht="11.85" customHeight="1" x14ac:dyDescent="0.25">
      <c r="A110" s="441"/>
      <c r="B110" s="442"/>
      <c r="C110" s="443"/>
      <c r="D110" s="444"/>
      <c r="E110" s="445"/>
      <c r="F110" s="442"/>
      <c r="G110" s="446"/>
    </row>
    <row r="111" spans="1:9" ht="11.85" customHeight="1" x14ac:dyDescent="0.25">
      <c r="A111" s="354" t="s">
        <v>2043</v>
      </c>
      <c r="B111" s="346" t="s">
        <v>58</v>
      </c>
      <c r="C111" s="347" t="s">
        <v>345</v>
      </c>
      <c r="D111" s="348"/>
      <c r="E111" s="349"/>
      <c r="F111" s="362"/>
      <c r="G111" s="350"/>
    </row>
    <row r="112" spans="1:9" ht="11.85" customHeight="1" x14ac:dyDescent="0.25">
      <c r="A112" s="441"/>
      <c r="B112" s="442"/>
      <c r="C112" s="443"/>
      <c r="D112" s="444"/>
      <c r="E112" s="445"/>
      <c r="F112" s="442"/>
      <c r="G112" s="446"/>
    </row>
    <row r="113" spans="1:8" ht="11.85" customHeight="1" x14ac:dyDescent="0.25">
      <c r="A113" s="356" t="s">
        <v>2044</v>
      </c>
      <c r="B113" s="348"/>
      <c r="C113" s="353" t="s">
        <v>913</v>
      </c>
      <c r="D113" s="142" t="s">
        <v>87</v>
      </c>
      <c r="E113" s="349">
        <v>480</v>
      </c>
      <c r="F113" s="361"/>
      <c r="G113" s="350"/>
    </row>
    <row r="114" spans="1:8" ht="11.85" customHeight="1" x14ac:dyDescent="0.25">
      <c r="A114" s="441"/>
      <c r="B114" s="442"/>
      <c r="C114" s="443"/>
      <c r="D114" s="444"/>
      <c r="E114" s="445"/>
      <c r="F114" s="442"/>
      <c r="G114" s="446"/>
    </row>
    <row r="115" spans="1:8" ht="11.85" customHeight="1" x14ac:dyDescent="0.25">
      <c r="A115" s="355"/>
      <c r="B115" s="351"/>
      <c r="C115" s="357"/>
      <c r="D115" s="352"/>
      <c r="E115" s="349"/>
      <c r="F115" s="351"/>
      <c r="G115" s="360"/>
    </row>
    <row r="116" spans="1:8" ht="11.85" customHeight="1" x14ac:dyDescent="0.25">
      <c r="A116" s="441"/>
      <c r="B116" s="442"/>
      <c r="C116" s="443"/>
      <c r="D116" s="444"/>
      <c r="E116" s="445"/>
      <c r="F116" s="442"/>
      <c r="G116" s="446"/>
    </row>
    <row r="117" spans="1:8" ht="25.9" customHeight="1" x14ac:dyDescent="0.25">
      <c r="A117" s="539" t="s">
        <v>609</v>
      </c>
      <c r="B117" s="528"/>
      <c r="C117" s="528"/>
      <c r="D117" s="528"/>
      <c r="E117" s="528"/>
      <c r="F117" s="529"/>
      <c r="G117" s="158"/>
    </row>
    <row r="118" spans="1:8" ht="28.5" customHeight="1" x14ac:dyDescent="0.25">
      <c r="A118" s="539" t="s">
        <v>610</v>
      </c>
      <c r="B118" s="528"/>
      <c r="C118" s="528"/>
      <c r="D118" s="528"/>
      <c r="E118" s="528"/>
      <c r="F118" s="529"/>
      <c r="G118" s="158"/>
    </row>
    <row r="119" spans="1:8" ht="11.85" customHeight="1" x14ac:dyDescent="0.25">
      <c r="A119" s="441"/>
      <c r="B119" s="442"/>
      <c r="C119" s="443"/>
      <c r="D119" s="444"/>
      <c r="E119" s="445"/>
      <c r="F119" s="442"/>
      <c r="G119" s="446"/>
    </row>
    <row r="120" spans="1:8" x14ac:dyDescent="0.25">
      <c r="A120" s="354" t="s">
        <v>2045</v>
      </c>
      <c r="B120" s="346" t="s">
        <v>575</v>
      </c>
      <c r="C120" s="347" t="s">
        <v>409</v>
      </c>
      <c r="D120" s="348"/>
      <c r="E120" s="349"/>
      <c r="F120" s="362"/>
      <c r="G120" s="350"/>
    </row>
    <row r="121" spans="1:8" x14ac:dyDescent="0.25">
      <c r="A121" s="441"/>
      <c r="B121" s="442"/>
      <c r="C121" s="443"/>
      <c r="D121" s="444"/>
      <c r="E121" s="445"/>
      <c r="F121" s="442"/>
      <c r="G121" s="446"/>
    </row>
    <row r="122" spans="1:8" ht="24" x14ac:dyDescent="0.25">
      <c r="A122" s="356" t="s">
        <v>2046</v>
      </c>
      <c r="B122" s="348"/>
      <c r="C122" s="353" t="s">
        <v>2238</v>
      </c>
      <c r="D122" s="348" t="s">
        <v>6</v>
      </c>
      <c r="E122" s="349">
        <v>300</v>
      </c>
      <c r="F122" s="361"/>
      <c r="G122" s="350"/>
      <c r="H122" s="164" t="s">
        <v>932</v>
      </c>
    </row>
    <row r="123" spans="1:8" x14ac:dyDescent="0.25">
      <c r="A123" s="441"/>
      <c r="B123" s="442"/>
      <c r="C123" s="443"/>
      <c r="D123" s="444"/>
      <c r="E123" s="445"/>
      <c r="F123" s="442"/>
      <c r="G123" s="446"/>
    </row>
    <row r="124" spans="1:8" ht="36" x14ac:dyDescent="0.25">
      <c r="A124" s="356" t="s">
        <v>2047</v>
      </c>
      <c r="B124" s="348"/>
      <c r="C124" s="353" t="s">
        <v>2237</v>
      </c>
      <c r="D124" s="348" t="s">
        <v>6</v>
      </c>
      <c r="E124" s="349">
        <v>50</v>
      </c>
      <c r="F124" s="361"/>
      <c r="G124" s="350"/>
    </row>
    <row r="125" spans="1:8" x14ac:dyDescent="0.25">
      <c r="A125" s="441"/>
      <c r="B125" s="442"/>
      <c r="C125" s="443"/>
      <c r="D125" s="444"/>
      <c r="E125" s="445"/>
      <c r="F125" s="442"/>
      <c r="G125" s="446"/>
    </row>
    <row r="126" spans="1:8" ht="72" x14ac:dyDescent="0.25">
      <c r="A126" s="356" t="s">
        <v>2048</v>
      </c>
      <c r="B126" s="348"/>
      <c r="C126" s="233" t="s">
        <v>2239</v>
      </c>
      <c r="D126" s="348" t="s">
        <v>6</v>
      </c>
      <c r="E126" s="349">
        <v>300</v>
      </c>
      <c r="F126" s="361"/>
      <c r="G126" s="350"/>
    </row>
    <row r="127" spans="1:8" x14ac:dyDescent="0.25">
      <c r="A127" s="441"/>
      <c r="B127" s="442"/>
      <c r="C127" s="443"/>
      <c r="D127" s="444"/>
      <c r="E127" s="445"/>
      <c r="F127" s="442"/>
      <c r="G127" s="446"/>
    </row>
    <row r="128" spans="1:8" ht="24" x14ac:dyDescent="0.25">
      <c r="A128" s="356" t="s">
        <v>2049</v>
      </c>
      <c r="B128" s="348"/>
      <c r="C128" s="353" t="s">
        <v>2240</v>
      </c>
      <c r="D128" s="348" t="s">
        <v>6</v>
      </c>
      <c r="E128" s="349">
        <v>50</v>
      </c>
      <c r="F128" s="361"/>
      <c r="G128" s="350"/>
    </row>
    <row r="129" spans="1:7" x14ac:dyDescent="0.25">
      <c r="A129" s="441"/>
      <c r="B129" s="442"/>
      <c r="C129" s="443"/>
      <c r="D129" s="444"/>
      <c r="E129" s="445"/>
      <c r="F129" s="442"/>
      <c r="G129" s="446"/>
    </row>
    <row r="130" spans="1:7" ht="24" x14ac:dyDescent="0.25">
      <c r="A130" s="354" t="s">
        <v>2050</v>
      </c>
      <c r="B130" s="346" t="s">
        <v>915</v>
      </c>
      <c r="C130" s="347" t="s">
        <v>916</v>
      </c>
      <c r="D130" s="348"/>
      <c r="E130" s="349"/>
      <c r="F130" s="362"/>
      <c r="G130" s="350"/>
    </row>
    <row r="131" spans="1:7" ht="11.85" customHeight="1" x14ac:dyDescent="0.25">
      <c r="A131" s="441"/>
      <c r="B131" s="442"/>
      <c r="C131" s="443"/>
      <c r="D131" s="444"/>
      <c r="E131" s="445"/>
      <c r="F131" s="442"/>
      <c r="G131" s="446"/>
    </row>
    <row r="132" spans="1:7" ht="36" x14ac:dyDescent="0.25">
      <c r="A132" s="354" t="s">
        <v>2051</v>
      </c>
      <c r="B132" s="346" t="s">
        <v>168</v>
      </c>
      <c r="C132" s="347" t="s">
        <v>300</v>
      </c>
      <c r="D132" s="348"/>
      <c r="E132" s="349"/>
      <c r="F132" s="362"/>
      <c r="G132" s="350"/>
    </row>
    <row r="133" spans="1:7" ht="11.85" customHeight="1" x14ac:dyDescent="0.25">
      <c r="A133" s="441"/>
      <c r="B133" s="442"/>
      <c r="C133" s="443"/>
      <c r="D133" s="444"/>
      <c r="E133" s="445"/>
      <c r="F133" s="442"/>
      <c r="G133" s="446"/>
    </row>
    <row r="134" spans="1:7" ht="13.5" x14ac:dyDescent="0.25">
      <c r="A134" s="356" t="s">
        <v>2052</v>
      </c>
      <c r="B134" s="348"/>
      <c r="C134" s="353" t="s">
        <v>268</v>
      </c>
      <c r="D134" s="210" t="s">
        <v>88</v>
      </c>
      <c r="E134" s="349">
        <v>300</v>
      </c>
      <c r="F134" s="361"/>
      <c r="G134" s="350"/>
    </row>
    <row r="135" spans="1:7" ht="11.85" customHeight="1" x14ac:dyDescent="0.25">
      <c r="A135" s="441"/>
      <c r="B135" s="442"/>
      <c r="C135" s="443"/>
      <c r="D135" s="444"/>
      <c r="E135" s="445"/>
      <c r="F135" s="442"/>
      <c r="G135" s="446"/>
    </row>
    <row r="136" spans="1:7" ht="48" x14ac:dyDescent="0.25">
      <c r="A136" s="354" t="s">
        <v>2053</v>
      </c>
      <c r="B136" s="346" t="s">
        <v>169</v>
      </c>
      <c r="C136" s="347" t="s">
        <v>270</v>
      </c>
      <c r="D136" s="348"/>
      <c r="E136" s="349"/>
      <c r="F136" s="362"/>
      <c r="G136" s="350"/>
    </row>
    <row r="137" spans="1:7" ht="11.85" customHeight="1" x14ac:dyDescent="0.25">
      <c r="A137" s="441"/>
      <c r="B137" s="442"/>
      <c r="C137" s="443"/>
      <c r="D137" s="444"/>
      <c r="E137" s="445"/>
      <c r="F137" s="442"/>
      <c r="G137" s="446"/>
    </row>
    <row r="138" spans="1:7" ht="24.6" customHeight="1" x14ac:dyDescent="0.25">
      <c r="A138" s="356"/>
      <c r="B138" s="475" t="s">
        <v>917</v>
      </c>
      <c r="C138" s="473" t="s">
        <v>918</v>
      </c>
      <c r="D138" s="348"/>
      <c r="E138" s="349"/>
      <c r="F138" s="362"/>
      <c r="G138" s="350"/>
    </row>
    <row r="139" spans="1:7" ht="11.85" customHeight="1" x14ac:dyDescent="0.25">
      <c r="A139" s="441"/>
      <c r="B139" s="442"/>
      <c r="C139" s="443"/>
      <c r="D139" s="444"/>
      <c r="E139" s="445"/>
      <c r="F139" s="442"/>
      <c r="G139" s="446"/>
    </row>
    <row r="140" spans="1:7" ht="13.5" x14ac:dyDescent="0.25">
      <c r="A140" s="356" t="s">
        <v>2054</v>
      </c>
      <c r="B140" s="348"/>
      <c r="C140" s="353" t="s">
        <v>246</v>
      </c>
      <c r="D140" s="210" t="s">
        <v>88</v>
      </c>
      <c r="E140" s="349">
        <v>600</v>
      </c>
      <c r="F140" s="361"/>
      <c r="G140" s="350"/>
    </row>
    <row r="141" spans="1:7" ht="11.85" customHeight="1" x14ac:dyDescent="0.25">
      <c r="A141" s="441"/>
      <c r="B141" s="442"/>
      <c r="C141" s="443"/>
      <c r="D141" s="444"/>
      <c r="E141" s="445"/>
      <c r="F141" s="442"/>
      <c r="G141" s="446"/>
    </row>
    <row r="142" spans="1:7" ht="13.5" x14ac:dyDescent="0.25">
      <c r="A142" s="356" t="s">
        <v>2055</v>
      </c>
      <c r="B142" s="348"/>
      <c r="C142" s="353" t="s">
        <v>268</v>
      </c>
      <c r="D142" s="210" t="s">
        <v>88</v>
      </c>
      <c r="E142" s="349">
        <v>200</v>
      </c>
      <c r="F142" s="361"/>
      <c r="G142" s="350"/>
    </row>
    <row r="143" spans="1:7" ht="11.85" customHeight="1" x14ac:dyDescent="0.25">
      <c r="A143" s="441"/>
      <c r="B143" s="442"/>
      <c r="C143" s="443"/>
      <c r="D143" s="444"/>
      <c r="E143" s="445"/>
      <c r="F143" s="442"/>
      <c r="G143" s="446"/>
    </row>
    <row r="144" spans="1:7" ht="24" x14ac:dyDescent="0.25">
      <c r="A144" s="354" t="s">
        <v>2056</v>
      </c>
      <c r="B144" s="346" t="s">
        <v>267</v>
      </c>
      <c r="C144" s="347" t="s">
        <v>266</v>
      </c>
      <c r="D144" s="348"/>
      <c r="E144" s="349"/>
      <c r="F144" s="362"/>
      <c r="G144" s="350"/>
    </row>
    <row r="145" spans="1:7" ht="11.85" customHeight="1" x14ac:dyDescent="0.25">
      <c r="A145" s="441"/>
      <c r="B145" s="442"/>
      <c r="C145" s="443"/>
      <c r="D145" s="444"/>
      <c r="E145" s="445"/>
      <c r="F145" s="442"/>
      <c r="G145" s="446"/>
    </row>
    <row r="146" spans="1:7" ht="24" x14ac:dyDescent="0.25">
      <c r="A146" s="356" t="s">
        <v>2057</v>
      </c>
      <c r="B146" s="348"/>
      <c r="C146" s="353" t="s">
        <v>2241</v>
      </c>
      <c r="D146" s="210" t="s">
        <v>88</v>
      </c>
      <c r="E146" s="349">
        <v>15</v>
      </c>
      <c r="F146" s="361"/>
      <c r="G146" s="350"/>
    </row>
    <row r="147" spans="1:7" ht="11.85" customHeight="1" x14ac:dyDescent="0.25">
      <c r="A147" s="441"/>
      <c r="B147" s="442"/>
      <c r="C147" s="443"/>
      <c r="D147" s="444"/>
      <c r="E147" s="445"/>
      <c r="F147" s="442"/>
      <c r="G147" s="446"/>
    </row>
    <row r="148" spans="1:7" ht="24" x14ac:dyDescent="0.25">
      <c r="A148" s="356" t="s">
        <v>2058</v>
      </c>
      <c r="B148" s="348"/>
      <c r="C148" s="353" t="s">
        <v>2242</v>
      </c>
      <c r="D148" s="142" t="s">
        <v>87</v>
      </c>
      <c r="E148" s="349">
        <v>320</v>
      </c>
      <c r="F148" s="361"/>
      <c r="G148" s="350"/>
    </row>
    <row r="149" spans="1:7" x14ac:dyDescent="0.25">
      <c r="A149" s="477"/>
      <c r="B149" s="478"/>
      <c r="C149" s="479"/>
      <c r="D149" s="240"/>
      <c r="E149" s="445"/>
      <c r="F149" s="480"/>
      <c r="G149" s="481"/>
    </row>
    <row r="150" spans="1:7" x14ac:dyDescent="0.25">
      <c r="A150" s="356"/>
      <c r="B150" s="348"/>
      <c r="C150" s="353"/>
      <c r="D150" s="142"/>
      <c r="E150" s="349"/>
      <c r="F150" s="361"/>
      <c r="G150" s="350"/>
    </row>
    <row r="151" spans="1:7" x14ac:dyDescent="0.25">
      <c r="A151" s="477"/>
      <c r="B151" s="478"/>
      <c r="C151" s="479"/>
      <c r="D151" s="240"/>
      <c r="E151" s="445"/>
      <c r="F151" s="480"/>
      <c r="G151" s="481"/>
    </row>
    <row r="152" spans="1:7" ht="28.5" customHeight="1" x14ac:dyDescent="0.25">
      <c r="A152" s="539" t="s">
        <v>609</v>
      </c>
      <c r="B152" s="528"/>
      <c r="C152" s="528"/>
      <c r="D152" s="528"/>
      <c r="E152" s="528"/>
      <c r="F152" s="529"/>
      <c r="G152" s="158"/>
    </row>
    <row r="153" spans="1:7" ht="28.5" customHeight="1" x14ac:dyDescent="0.25">
      <c r="A153" s="539" t="s">
        <v>610</v>
      </c>
      <c r="B153" s="528"/>
      <c r="C153" s="528"/>
      <c r="D153" s="528"/>
      <c r="E153" s="528"/>
      <c r="F153" s="529"/>
      <c r="G153" s="158"/>
    </row>
    <row r="154" spans="1:7" x14ac:dyDescent="0.25">
      <c r="A154" s="441"/>
      <c r="B154" s="442"/>
      <c r="C154" s="443"/>
      <c r="D154" s="444"/>
      <c r="E154" s="445"/>
      <c r="F154" s="442"/>
      <c r="G154" s="446"/>
    </row>
    <row r="155" spans="1:7" ht="24" x14ac:dyDescent="0.25">
      <c r="A155" s="354" t="s">
        <v>2059</v>
      </c>
      <c r="B155" s="346" t="s">
        <v>327</v>
      </c>
      <c r="C155" s="347" t="s">
        <v>326</v>
      </c>
      <c r="D155" s="348"/>
      <c r="E155" s="349"/>
      <c r="F155" s="362"/>
      <c r="G155" s="350"/>
    </row>
    <row r="156" spans="1:7" x14ac:dyDescent="0.25">
      <c r="A156" s="441"/>
      <c r="B156" s="442"/>
      <c r="C156" s="443"/>
      <c r="D156" s="444"/>
      <c r="E156" s="445"/>
      <c r="F156" s="442"/>
      <c r="G156" s="446"/>
    </row>
    <row r="157" spans="1:7" ht="24" x14ac:dyDescent="0.25">
      <c r="A157" s="354" t="s">
        <v>2060</v>
      </c>
      <c r="B157" s="346" t="s">
        <v>5</v>
      </c>
      <c r="C157" s="347" t="s">
        <v>2243</v>
      </c>
      <c r="D157" s="348"/>
      <c r="E157" s="349"/>
      <c r="F157" s="362"/>
      <c r="G157" s="350"/>
    </row>
    <row r="158" spans="1:7" ht="11.85" customHeight="1" x14ac:dyDescent="0.25">
      <c r="A158" s="441"/>
      <c r="B158" s="442"/>
      <c r="C158" s="443"/>
      <c r="D158" s="444"/>
      <c r="E158" s="445"/>
      <c r="F158" s="442"/>
      <c r="G158" s="446"/>
    </row>
    <row r="159" spans="1:7" ht="11.85" customHeight="1" x14ac:dyDescent="0.25">
      <c r="A159" s="356" t="s">
        <v>2061</v>
      </c>
      <c r="B159" s="348"/>
      <c r="C159" s="353" t="s">
        <v>2245</v>
      </c>
      <c r="D159" s="348" t="s">
        <v>6</v>
      </c>
      <c r="E159" s="349">
        <v>350</v>
      </c>
      <c r="F159" s="361"/>
      <c r="G159" s="350"/>
    </row>
    <row r="160" spans="1:7" ht="11.85" customHeight="1" x14ac:dyDescent="0.25">
      <c r="A160" s="441"/>
      <c r="B160" s="442"/>
      <c r="C160" s="443"/>
      <c r="D160" s="444"/>
      <c r="E160" s="445"/>
      <c r="F160" s="442"/>
      <c r="G160" s="446"/>
    </row>
    <row r="161" spans="1:7" x14ac:dyDescent="0.25">
      <c r="A161" s="356" t="s">
        <v>2062</v>
      </c>
      <c r="B161" s="348"/>
      <c r="C161" s="353" t="s">
        <v>2244</v>
      </c>
      <c r="D161" s="348" t="s">
        <v>6</v>
      </c>
      <c r="E161" s="349">
        <v>10</v>
      </c>
      <c r="F161" s="361"/>
      <c r="G161" s="350"/>
    </row>
    <row r="162" spans="1:7" ht="11.85" customHeight="1" x14ac:dyDescent="0.25">
      <c r="A162" s="441"/>
      <c r="B162" s="442"/>
      <c r="C162" s="443"/>
      <c r="D162" s="444"/>
      <c r="E162" s="445"/>
      <c r="F162" s="442"/>
      <c r="G162" s="446"/>
    </row>
    <row r="163" spans="1:7" ht="24" x14ac:dyDescent="0.25">
      <c r="A163" s="355"/>
      <c r="B163" s="482" t="s">
        <v>2246</v>
      </c>
      <c r="C163" s="471" t="s">
        <v>2247</v>
      </c>
      <c r="D163" s="352"/>
      <c r="E163" s="349"/>
      <c r="F163" s="351"/>
      <c r="G163" s="360"/>
    </row>
    <row r="164" spans="1:7" ht="11.85" customHeight="1" x14ac:dyDescent="0.25">
      <c r="A164" s="441"/>
      <c r="B164" s="442"/>
      <c r="C164" s="443"/>
      <c r="D164" s="444"/>
      <c r="E164" s="445"/>
      <c r="F164" s="442"/>
      <c r="G164" s="446"/>
    </row>
    <row r="165" spans="1:7" x14ac:dyDescent="0.25">
      <c r="A165" s="356" t="s">
        <v>2063</v>
      </c>
      <c r="B165" s="348"/>
      <c r="C165" s="353" t="s">
        <v>2248</v>
      </c>
      <c r="D165" s="348" t="s">
        <v>6</v>
      </c>
      <c r="E165" s="349">
        <v>90</v>
      </c>
      <c r="F165" s="361"/>
      <c r="G165" s="350"/>
    </row>
    <row r="166" spans="1:7" ht="9.9499999999999993" customHeight="1" x14ac:dyDescent="0.25">
      <c r="A166" s="441"/>
      <c r="B166" s="442"/>
      <c r="C166" s="443"/>
      <c r="D166" s="444"/>
      <c r="E166" s="445"/>
      <c r="F166" s="442"/>
      <c r="G166" s="446"/>
    </row>
    <row r="167" spans="1:7" ht="11.85" customHeight="1" x14ac:dyDescent="0.25">
      <c r="A167" s="356" t="s">
        <v>2064</v>
      </c>
      <c r="B167" s="348"/>
      <c r="C167" s="353" t="s">
        <v>2249</v>
      </c>
      <c r="D167" s="348" t="s">
        <v>6</v>
      </c>
      <c r="E167" s="349">
        <v>75</v>
      </c>
      <c r="F167" s="361"/>
      <c r="G167" s="350"/>
    </row>
    <row r="168" spans="1:7" ht="9.9499999999999993" customHeight="1" x14ac:dyDescent="0.25">
      <c r="A168" s="441"/>
      <c r="B168" s="442"/>
      <c r="C168" s="443"/>
      <c r="D168" s="444"/>
      <c r="E168" s="445"/>
      <c r="F168" s="442"/>
      <c r="G168" s="446"/>
    </row>
    <row r="169" spans="1:7" ht="24" x14ac:dyDescent="0.25">
      <c r="A169" s="354" t="s">
        <v>2065</v>
      </c>
      <c r="B169" s="346" t="s">
        <v>324</v>
      </c>
      <c r="C169" s="347" t="s">
        <v>2258</v>
      </c>
      <c r="D169" s="348"/>
      <c r="E169" s="349"/>
      <c r="F169" s="362"/>
      <c r="G169" s="350"/>
    </row>
    <row r="170" spans="1:7" ht="9.9499999999999993" customHeight="1" x14ac:dyDescent="0.25">
      <c r="A170" s="441"/>
      <c r="B170" s="442"/>
      <c r="C170" s="443"/>
      <c r="D170" s="444"/>
      <c r="E170" s="445"/>
      <c r="F170" s="442"/>
      <c r="G170" s="446"/>
    </row>
    <row r="171" spans="1:7" ht="36" x14ac:dyDescent="0.25">
      <c r="A171" s="356" t="s">
        <v>2066</v>
      </c>
      <c r="B171" s="348"/>
      <c r="C171" s="353" t="s">
        <v>2255</v>
      </c>
      <c r="D171" s="348" t="s">
        <v>8</v>
      </c>
      <c r="E171" s="349">
        <v>4</v>
      </c>
      <c r="F171" s="361"/>
      <c r="G171" s="350"/>
    </row>
    <row r="172" spans="1:7" ht="9.9499999999999993" customHeight="1" x14ac:dyDescent="0.25">
      <c r="A172" s="441"/>
      <c r="B172" s="442"/>
      <c r="C172" s="443"/>
      <c r="D172" s="444"/>
      <c r="E172" s="445"/>
      <c r="F172" s="442"/>
      <c r="G172" s="446"/>
    </row>
    <row r="173" spans="1:7" ht="36" x14ac:dyDescent="0.25">
      <c r="A173" s="356" t="s">
        <v>2067</v>
      </c>
      <c r="B173" s="348"/>
      <c r="C173" s="353" t="s">
        <v>2254</v>
      </c>
      <c r="D173" s="348" t="s">
        <v>8</v>
      </c>
      <c r="E173" s="349">
        <v>7</v>
      </c>
      <c r="F173" s="361"/>
      <c r="G173" s="350"/>
    </row>
    <row r="174" spans="1:7" ht="9.9499999999999993" customHeight="1" x14ac:dyDescent="0.25">
      <c r="A174" s="441"/>
      <c r="B174" s="442"/>
      <c r="C174" s="443"/>
      <c r="D174" s="444"/>
      <c r="E174" s="445"/>
      <c r="F174" s="442"/>
      <c r="G174" s="446"/>
    </row>
    <row r="175" spans="1:7" ht="36" x14ac:dyDescent="0.25">
      <c r="A175" s="356" t="s">
        <v>2068</v>
      </c>
      <c r="B175" s="348"/>
      <c r="C175" s="353" t="s">
        <v>2253</v>
      </c>
      <c r="D175" s="348" t="s">
        <v>8</v>
      </c>
      <c r="E175" s="349">
        <v>2</v>
      </c>
      <c r="F175" s="361"/>
      <c r="G175" s="350"/>
    </row>
    <row r="176" spans="1:7" ht="9.9499999999999993" customHeight="1" x14ac:dyDescent="0.25">
      <c r="A176" s="441"/>
      <c r="B176" s="442"/>
      <c r="C176" s="443"/>
      <c r="D176" s="444"/>
      <c r="E176" s="445"/>
      <c r="F176" s="442"/>
      <c r="G176" s="446"/>
    </row>
    <row r="177" spans="1:7" ht="36" x14ac:dyDescent="0.25">
      <c r="A177" s="356" t="s">
        <v>2069</v>
      </c>
      <c r="B177" s="348"/>
      <c r="C177" s="353" t="s">
        <v>2252</v>
      </c>
      <c r="D177" s="348" t="s">
        <v>8</v>
      </c>
      <c r="E177" s="349">
        <v>3</v>
      </c>
      <c r="F177" s="361"/>
      <c r="G177" s="350"/>
    </row>
    <row r="178" spans="1:7" ht="9.9499999999999993" customHeight="1" x14ac:dyDescent="0.25">
      <c r="A178" s="441"/>
      <c r="B178" s="442"/>
      <c r="C178" s="443"/>
      <c r="D178" s="444"/>
      <c r="E178" s="445"/>
      <c r="F178" s="442"/>
      <c r="G178" s="446"/>
    </row>
    <row r="179" spans="1:7" ht="36" x14ac:dyDescent="0.25">
      <c r="A179" s="356" t="s">
        <v>2070</v>
      </c>
      <c r="B179" s="351"/>
      <c r="C179" s="353" t="s">
        <v>2251</v>
      </c>
      <c r="D179" s="348" t="s">
        <v>8</v>
      </c>
      <c r="E179" s="349">
        <v>2</v>
      </c>
      <c r="F179" s="361"/>
      <c r="G179" s="350"/>
    </row>
    <row r="180" spans="1:7" ht="9.9499999999999993" customHeight="1" x14ac:dyDescent="0.25">
      <c r="A180" s="441"/>
      <c r="B180" s="442"/>
      <c r="C180" s="443"/>
      <c r="D180" s="444"/>
      <c r="E180" s="445"/>
      <c r="F180" s="442"/>
      <c r="G180" s="446"/>
    </row>
    <row r="181" spans="1:7" ht="36" x14ac:dyDescent="0.25">
      <c r="A181" s="356" t="s">
        <v>2071</v>
      </c>
      <c r="B181" s="351"/>
      <c r="C181" s="353" t="s">
        <v>2250</v>
      </c>
      <c r="D181" s="348" t="s">
        <v>8</v>
      </c>
      <c r="E181" s="349">
        <v>1</v>
      </c>
      <c r="F181" s="361"/>
      <c r="G181" s="350"/>
    </row>
    <row r="182" spans="1:7" ht="9.9499999999999993" customHeight="1" x14ac:dyDescent="0.25">
      <c r="A182" s="441"/>
      <c r="B182" s="442"/>
      <c r="C182" s="443"/>
      <c r="D182" s="444"/>
      <c r="E182" s="445"/>
      <c r="F182" s="442"/>
      <c r="G182" s="446"/>
    </row>
    <row r="183" spans="1:7" x14ac:dyDescent="0.25">
      <c r="A183" s="356" t="s">
        <v>2072</v>
      </c>
      <c r="B183" s="351" t="s">
        <v>2256</v>
      </c>
      <c r="C183" s="353" t="s">
        <v>919</v>
      </c>
      <c r="D183" s="348" t="s">
        <v>8</v>
      </c>
      <c r="E183" s="349">
        <v>6</v>
      </c>
      <c r="F183" s="361"/>
      <c r="G183" s="350"/>
    </row>
    <row r="184" spans="1:7" ht="9.9499999999999993" customHeight="1" x14ac:dyDescent="0.25">
      <c r="A184" s="441"/>
      <c r="B184" s="442"/>
      <c r="C184" s="443"/>
      <c r="D184" s="444"/>
      <c r="E184" s="445"/>
      <c r="F184" s="442"/>
      <c r="G184" s="446"/>
    </row>
    <row r="185" spans="1:7" ht="24" x14ac:dyDescent="0.25">
      <c r="A185" s="356" t="s">
        <v>2073</v>
      </c>
      <c r="B185" s="348" t="s">
        <v>322</v>
      </c>
      <c r="C185" s="353" t="s">
        <v>2257</v>
      </c>
      <c r="D185" s="348" t="s">
        <v>8</v>
      </c>
      <c r="E185" s="349">
        <v>4</v>
      </c>
      <c r="F185" s="361"/>
      <c r="G185" s="350"/>
    </row>
    <row r="186" spans="1:7" ht="9.9499999999999993" customHeight="1" x14ac:dyDescent="0.25">
      <c r="A186" s="441"/>
      <c r="B186" s="442"/>
      <c r="C186" s="443"/>
      <c r="D186" s="444"/>
      <c r="E186" s="445"/>
      <c r="F186" s="442"/>
      <c r="G186" s="446"/>
    </row>
    <row r="187" spans="1:7" x14ac:dyDescent="0.25">
      <c r="A187" s="355" t="s">
        <v>2074</v>
      </c>
      <c r="B187" s="482" t="s">
        <v>920</v>
      </c>
      <c r="C187" s="471" t="s">
        <v>921</v>
      </c>
      <c r="D187" s="352"/>
      <c r="E187" s="349"/>
      <c r="F187" s="351"/>
      <c r="G187" s="360"/>
    </row>
    <row r="188" spans="1:7" ht="9.9499999999999993" customHeight="1" x14ac:dyDescent="0.25">
      <c r="A188" s="441"/>
      <c r="B188" s="442"/>
      <c r="C188" s="443"/>
      <c r="D188" s="444"/>
      <c r="E188" s="445"/>
      <c r="F188" s="442"/>
      <c r="G188" s="446"/>
    </row>
    <row r="189" spans="1:7" ht="36" x14ac:dyDescent="0.25">
      <c r="A189" s="355"/>
      <c r="B189" s="351"/>
      <c r="C189" s="357" t="s">
        <v>2138</v>
      </c>
      <c r="D189" s="348" t="s">
        <v>8</v>
      </c>
      <c r="E189" s="349">
        <v>60</v>
      </c>
      <c r="F189" s="361"/>
      <c r="G189" s="350"/>
    </row>
    <row r="190" spans="1:7" ht="9.9499999999999993" customHeight="1" x14ac:dyDescent="0.25">
      <c r="A190" s="441"/>
      <c r="B190" s="442"/>
      <c r="C190" s="443"/>
      <c r="D190" s="444"/>
      <c r="E190" s="445"/>
      <c r="F190" s="442"/>
      <c r="G190" s="446"/>
    </row>
    <row r="191" spans="1:7" ht="28.5" customHeight="1" x14ac:dyDescent="0.25">
      <c r="A191" s="539" t="s">
        <v>609</v>
      </c>
      <c r="B191" s="528"/>
      <c r="C191" s="528"/>
      <c r="D191" s="528"/>
      <c r="E191" s="528"/>
      <c r="F191" s="529"/>
      <c r="G191" s="158"/>
    </row>
    <row r="192" spans="1:7" ht="28.5" customHeight="1" x14ac:dyDescent="0.25">
      <c r="A192" s="539" t="s">
        <v>610</v>
      </c>
      <c r="B192" s="528"/>
      <c r="C192" s="528"/>
      <c r="D192" s="528"/>
      <c r="E192" s="528"/>
      <c r="F192" s="529"/>
      <c r="G192" s="158"/>
    </row>
    <row r="193" spans="1:7" x14ac:dyDescent="0.25">
      <c r="A193" s="441"/>
      <c r="B193" s="442"/>
      <c r="C193" s="443"/>
      <c r="D193" s="444"/>
      <c r="E193" s="445"/>
      <c r="F193" s="442"/>
      <c r="G193" s="446"/>
    </row>
    <row r="194" spans="1:7" ht="24" x14ac:dyDescent="0.25">
      <c r="A194" s="354" t="s">
        <v>2075</v>
      </c>
      <c r="B194" s="346" t="s">
        <v>321</v>
      </c>
      <c r="C194" s="347" t="s">
        <v>320</v>
      </c>
      <c r="D194" s="348"/>
      <c r="E194" s="349"/>
      <c r="F194" s="362"/>
      <c r="G194" s="350"/>
    </row>
    <row r="195" spans="1:7" x14ac:dyDescent="0.25">
      <c r="A195" s="441"/>
      <c r="B195" s="442"/>
      <c r="C195" s="443"/>
      <c r="D195" s="444"/>
      <c r="E195" s="445"/>
      <c r="F195" s="442"/>
      <c r="G195" s="446"/>
    </row>
    <row r="196" spans="1:7" ht="24" x14ac:dyDescent="0.25">
      <c r="A196" s="356" t="s">
        <v>2076</v>
      </c>
      <c r="B196" s="348" t="s">
        <v>18</v>
      </c>
      <c r="C196" s="353" t="s">
        <v>922</v>
      </c>
      <c r="D196" s="210" t="s">
        <v>88</v>
      </c>
      <c r="E196" s="349">
        <v>135</v>
      </c>
      <c r="F196" s="361"/>
      <c r="G196" s="350"/>
    </row>
    <row r="197" spans="1:7" x14ac:dyDescent="0.25">
      <c r="A197" s="441"/>
      <c r="B197" s="442"/>
      <c r="C197" s="443"/>
      <c r="D197" s="444"/>
      <c r="E197" s="445"/>
      <c r="F197" s="442"/>
      <c r="G197" s="446"/>
    </row>
    <row r="198" spans="1:7" ht="36" x14ac:dyDescent="0.25">
      <c r="A198" s="354" t="s">
        <v>2077</v>
      </c>
      <c r="B198" s="346" t="s">
        <v>10</v>
      </c>
      <c r="C198" s="347" t="s">
        <v>2259</v>
      </c>
      <c r="D198" s="348"/>
      <c r="E198" s="349"/>
      <c r="F198" s="362"/>
      <c r="G198" s="350"/>
    </row>
    <row r="199" spans="1:7" x14ac:dyDescent="0.25">
      <c r="A199" s="441"/>
      <c r="B199" s="442"/>
      <c r="C199" s="443"/>
      <c r="D199" s="444"/>
      <c r="E199" s="445"/>
      <c r="F199" s="442"/>
      <c r="G199" s="446"/>
    </row>
    <row r="200" spans="1:7" ht="48" x14ac:dyDescent="0.25">
      <c r="A200" s="356" t="s">
        <v>2078</v>
      </c>
      <c r="B200" s="348"/>
      <c r="C200" s="353" t="s">
        <v>923</v>
      </c>
      <c r="D200" s="210" t="s">
        <v>88</v>
      </c>
      <c r="E200" s="349">
        <v>135</v>
      </c>
      <c r="F200" s="361"/>
      <c r="G200" s="350"/>
    </row>
    <row r="201" spans="1:7" x14ac:dyDescent="0.25">
      <c r="A201" s="441"/>
      <c r="B201" s="442"/>
      <c r="C201" s="443"/>
      <c r="D201" s="444"/>
      <c r="E201" s="445"/>
      <c r="F201" s="442"/>
      <c r="G201" s="446"/>
    </row>
    <row r="202" spans="1:7" x14ac:dyDescent="0.25">
      <c r="A202" s="354" t="s">
        <v>2079</v>
      </c>
      <c r="B202" s="346" t="s">
        <v>924</v>
      </c>
      <c r="C202" s="347" t="s">
        <v>925</v>
      </c>
      <c r="D202" s="348"/>
      <c r="E202" s="349"/>
      <c r="F202" s="362"/>
      <c r="G202" s="350"/>
    </row>
    <row r="203" spans="1:7" x14ac:dyDescent="0.25">
      <c r="A203" s="441"/>
      <c r="B203" s="442"/>
      <c r="C203" s="443"/>
      <c r="D203" s="444"/>
      <c r="E203" s="445"/>
      <c r="F203" s="442"/>
      <c r="G203" s="446"/>
    </row>
    <row r="204" spans="1:7" x14ac:dyDescent="0.25">
      <c r="A204" s="356" t="s">
        <v>2080</v>
      </c>
      <c r="B204" s="348" t="s">
        <v>926</v>
      </c>
      <c r="C204" s="353" t="s">
        <v>2260</v>
      </c>
      <c r="D204" s="348" t="s">
        <v>92</v>
      </c>
      <c r="E204" s="349">
        <v>15</v>
      </c>
      <c r="F204" s="361"/>
      <c r="G204" s="350"/>
    </row>
    <row r="205" spans="1:7" x14ac:dyDescent="0.25">
      <c r="A205" s="441"/>
      <c r="B205" s="442"/>
      <c r="C205" s="443"/>
      <c r="D205" s="444"/>
      <c r="E205" s="445"/>
      <c r="F205" s="442"/>
      <c r="G205" s="446"/>
    </row>
    <row r="206" spans="1:7" ht="24" x14ac:dyDescent="0.25">
      <c r="A206" s="354" t="s">
        <v>2081</v>
      </c>
      <c r="B206" s="346" t="s">
        <v>318</v>
      </c>
      <c r="C206" s="347" t="s">
        <v>1003</v>
      </c>
      <c r="D206" s="348"/>
      <c r="E206" s="349"/>
      <c r="F206" s="362"/>
      <c r="G206" s="350"/>
    </row>
    <row r="207" spans="1:7" ht="11.85" customHeight="1" x14ac:dyDescent="0.25">
      <c r="A207" s="441"/>
      <c r="B207" s="442"/>
      <c r="C207" s="443"/>
      <c r="D207" s="444"/>
      <c r="E207" s="445"/>
      <c r="F207" s="442"/>
      <c r="G207" s="446"/>
    </row>
    <row r="208" spans="1:7" ht="24" x14ac:dyDescent="0.25">
      <c r="A208" s="354" t="s">
        <v>2082</v>
      </c>
      <c r="B208" s="346" t="s">
        <v>18</v>
      </c>
      <c r="C208" s="347" t="s">
        <v>316</v>
      </c>
      <c r="D208" s="348"/>
      <c r="E208" s="349"/>
      <c r="F208" s="362"/>
      <c r="G208" s="350"/>
    </row>
    <row r="209" spans="1:8" ht="11.85" customHeight="1" x14ac:dyDescent="0.25">
      <c r="A209" s="441"/>
      <c r="B209" s="442"/>
      <c r="C209" s="443"/>
      <c r="D209" s="444"/>
      <c r="E209" s="445"/>
      <c r="F209" s="442"/>
      <c r="G209" s="446"/>
    </row>
    <row r="210" spans="1:8" ht="24" x14ac:dyDescent="0.25">
      <c r="A210" s="356" t="s">
        <v>2083</v>
      </c>
      <c r="B210" s="348"/>
      <c r="C210" s="353" t="s">
        <v>927</v>
      </c>
      <c r="D210" s="210" t="s">
        <v>88</v>
      </c>
      <c r="E210" s="349">
        <v>54</v>
      </c>
      <c r="F210" s="361"/>
      <c r="G210" s="350"/>
      <c r="H210" s="164"/>
    </row>
    <row r="211" spans="1:8" ht="11.85" customHeight="1" x14ac:dyDescent="0.25">
      <c r="A211" s="441"/>
      <c r="B211" s="442"/>
      <c r="C211" s="443"/>
      <c r="D211" s="444"/>
      <c r="E211" s="445"/>
      <c r="F211" s="442"/>
      <c r="G211" s="446"/>
    </row>
    <row r="212" spans="1:8" ht="24" x14ac:dyDescent="0.25">
      <c r="A212" s="354" t="s">
        <v>2084</v>
      </c>
      <c r="B212" s="346" t="s">
        <v>315</v>
      </c>
      <c r="C212" s="347" t="s">
        <v>928</v>
      </c>
      <c r="D212" s="348"/>
      <c r="E212" s="349"/>
      <c r="F212" s="362"/>
      <c r="G212" s="350"/>
    </row>
    <row r="213" spans="1:8" x14ac:dyDescent="0.25">
      <c r="A213" s="441"/>
      <c r="B213" s="442"/>
      <c r="C213" s="443"/>
      <c r="D213" s="444"/>
      <c r="E213" s="445"/>
      <c r="F213" s="442"/>
      <c r="G213" s="446"/>
    </row>
    <row r="214" spans="1:8" ht="25.5" x14ac:dyDescent="0.25">
      <c r="A214" s="356" t="s">
        <v>2085</v>
      </c>
      <c r="B214" s="112" t="s">
        <v>2157</v>
      </c>
      <c r="C214" s="353" t="s">
        <v>929</v>
      </c>
      <c r="D214" s="142" t="s">
        <v>87</v>
      </c>
      <c r="E214" s="349">
        <v>180</v>
      </c>
      <c r="F214" s="361"/>
      <c r="G214" s="350"/>
    </row>
    <row r="215" spans="1:8" x14ac:dyDescent="0.25">
      <c r="A215" s="441"/>
      <c r="B215" s="442"/>
      <c r="C215" s="443"/>
      <c r="D215" s="444"/>
      <c r="E215" s="445"/>
      <c r="F215" s="442"/>
      <c r="G215" s="446"/>
    </row>
    <row r="216" spans="1:8" s="32" customFormat="1" ht="60" x14ac:dyDescent="0.25">
      <c r="A216" s="356" t="s">
        <v>2086</v>
      </c>
      <c r="B216" s="348" t="s">
        <v>2158</v>
      </c>
      <c r="C216" s="353" t="s">
        <v>1006</v>
      </c>
      <c r="D216" s="142" t="s">
        <v>87</v>
      </c>
      <c r="E216" s="349">
        <v>180</v>
      </c>
      <c r="F216" s="361"/>
      <c r="G216" s="350"/>
      <c r="H216" s="179"/>
    </row>
    <row r="217" spans="1:8" s="32" customFormat="1" x14ac:dyDescent="0.25">
      <c r="A217" s="441"/>
      <c r="B217" s="442"/>
      <c r="C217" s="443"/>
      <c r="D217" s="444"/>
      <c r="E217" s="445"/>
      <c r="F217" s="442"/>
      <c r="G217" s="446"/>
    </row>
    <row r="218" spans="1:8" s="32" customFormat="1" ht="24" x14ac:dyDescent="0.25">
      <c r="A218" s="354" t="s">
        <v>2087</v>
      </c>
      <c r="B218" s="346" t="s">
        <v>930</v>
      </c>
      <c r="C218" s="347" t="s">
        <v>931</v>
      </c>
      <c r="D218" s="348"/>
      <c r="E218" s="349"/>
      <c r="F218" s="362"/>
      <c r="G218" s="350"/>
    </row>
    <row r="219" spans="1:8" s="32" customFormat="1" x14ac:dyDescent="0.25">
      <c r="A219" s="441"/>
      <c r="B219" s="442"/>
      <c r="C219" s="443"/>
      <c r="D219" s="444"/>
      <c r="E219" s="445"/>
      <c r="F219" s="442"/>
      <c r="G219" s="446"/>
    </row>
    <row r="220" spans="1:8" s="32" customFormat="1" ht="36" x14ac:dyDescent="0.25">
      <c r="A220" s="356" t="s">
        <v>2088</v>
      </c>
      <c r="B220" s="348" t="s">
        <v>7</v>
      </c>
      <c r="C220" s="353" t="s">
        <v>2261</v>
      </c>
      <c r="D220" s="348" t="s">
        <v>6</v>
      </c>
      <c r="E220" s="349">
        <v>200</v>
      </c>
      <c r="F220" s="361"/>
      <c r="G220" s="350"/>
      <c r="H220" s="180"/>
    </row>
    <row r="221" spans="1:8" s="32" customFormat="1" x14ac:dyDescent="0.25">
      <c r="A221" s="441"/>
      <c r="B221" s="442"/>
      <c r="C221" s="443"/>
      <c r="D221" s="444"/>
      <c r="E221" s="445"/>
      <c r="F221" s="442"/>
      <c r="G221" s="446"/>
    </row>
    <row r="222" spans="1:8" s="32" customFormat="1" x14ac:dyDescent="0.25">
      <c r="A222" s="246"/>
      <c r="B222" s="207"/>
      <c r="C222" s="258"/>
      <c r="D222" s="142"/>
      <c r="E222" s="241"/>
      <c r="F222" s="234"/>
      <c r="G222" s="364"/>
    </row>
    <row r="223" spans="1:8" s="32" customFormat="1" x14ac:dyDescent="0.25">
      <c r="A223" s="441"/>
      <c r="B223" s="442"/>
      <c r="C223" s="443"/>
      <c r="D223" s="444"/>
      <c r="E223" s="445"/>
      <c r="F223" s="442"/>
      <c r="G223" s="446"/>
    </row>
    <row r="224" spans="1:8" s="32" customFormat="1" x14ac:dyDescent="0.25">
      <c r="A224" s="246"/>
      <c r="B224" s="207"/>
      <c r="C224" s="258"/>
      <c r="D224" s="142"/>
      <c r="E224" s="241"/>
      <c r="F224" s="234"/>
      <c r="G224" s="364"/>
    </row>
    <row r="225" spans="1:7" s="32" customFormat="1" x14ac:dyDescent="0.25">
      <c r="A225" s="441"/>
      <c r="B225" s="442"/>
      <c r="C225" s="443"/>
      <c r="D225" s="444"/>
      <c r="E225" s="445"/>
      <c r="F225" s="442"/>
      <c r="G225" s="446"/>
    </row>
    <row r="226" spans="1:7" s="32" customFormat="1" x14ac:dyDescent="0.25">
      <c r="A226" s="246"/>
      <c r="B226" s="207"/>
      <c r="C226" s="258"/>
      <c r="D226" s="142"/>
      <c r="E226" s="241"/>
      <c r="F226" s="234"/>
      <c r="G226" s="364"/>
    </row>
    <row r="227" spans="1:7" ht="28.5" customHeight="1" x14ac:dyDescent="0.25">
      <c r="A227" s="526" t="s">
        <v>2089</v>
      </c>
      <c r="B227" s="526"/>
      <c r="C227" s="526"/>
      <c r="D227" s="526"/>
      <c r="E227" s="526"/>
      <c r="F227" s="526"/>
      <c r="G227" s="159"/>
    </row>
    <row r="228" spans="1:7" s="32" customFormat="1" x14ac:dyDescent="0.25">
      <c r="A228" s="315"/>
      <c r="B228" s="315"/>
      <c r="C228" s="326"/>
      <c r="D228" s="315"/>
      <c r="E228" s="321"/>
      <c r="F228" s="322"/>
      <c r="G228" s="366"/>
    </row>
    <row r="229" spans="1:7" s="32" customFormat="1" x14ac:dyDescent="0.25">
      <c r="A229" s="315"/>
      <c r="B229" s="315"/>
      <c r="C229" s="326"/>
      <c r="D229" s="315"/>
      <c r="E229" s="321"/>
      <c r="F229" s="322"/>
      <c r="G229" s="366"/>
    </row>
    <row r="230" spans="1:7" s="32" customFormat="1" x14ac:dyDescent="0.25">
      <c r="A230" s="315"/>
      <c r="B230" s="315"/>
      <c r="C230" s="326"/>
      <c r="D230" s="315"/>
      <c r="E230" s="321"/>
      <c r="F230" s="322"/>
      <c r="G230" s="366"/>
    </row>
    <row r="231" spans="1:7" s="32" customFormat="1" x14ac:dyDescent="0.25">
      <c r="A231" s="315"/>
      <c r="B231" s="315"/>
      <c r="C231" s="326"/>
      <c r="D231" s="315"/>
      <c r="E231" s="321"/>
      <c r="F231" s="322"/>
      <c r="G231" s="366"/>
    </row>
    <row r="232" spans="1:7" s="32" customFormat="1" x14ac:dyDescent="0.25">
      <c r="A232" s="315"/>
      <c r="B232" s="315"/>
      <c r="C232" s="326"/>
      <c r="D232" s="315"/>
      <c r="E232" s="321"/>
      <c r="F232" s="322"/>
      <c r="G232" s="366"/>
    </row>
    <row r="233" spans="1:7" s="32" customFormat="1" x14ac:dyDescent="0.25">
      <c r="A233" s="315"/>
      <c r="B233" s="315"/>
      <c r="C233" s="326"/>
      <c r="D233" s="315"/>
      <c r="E233" s="321"/>
      <c r="F233" s="322"/>
      <c r="G233" s="366"/>
    </row>
    <row r="234" spans="1:7" s="32" customFormat="1" x14ac:dyDescent="0.25">
      <c r="A234" s="315"/>
      <c r="B234" s="315"/>
      <c r="C234" s="326"/>
      <c r="D234" s="315"/>
      <c r="E234" s="321"/>
      <c r="F234" s="322"/>
      <c r="G234" s="366"/>
    </row>
    <row r="235" spans="1:7" s="32" customFormat="1" x14ac:dyDescent="0.25">
      <c r="A235" s="315"/>
      <c r="B235" s="315"/>
      <c r="C235" s="326"/>
      <c r="D235" s="315"/>
      <c r="E235" s="321"/>
      <c r="F235" s="322"/>
      <c r="G235" s="366"/>
    </row>
    <row r="236" spans="1:7" s="32" customFormat="1" x14ac:dyDescent="0.25">
      <c r="A236" s="315"/>
      <c r="B236" s="315"/>
      <c r="C236" s="326"/>
      <c r="D236" s="315"/>
      <c r="E236" s="321"/>
      <c r="F236" s="322"/>
      <c r="G236" s="366"/>
    </row>
    <row r="237" spans="1:7" s="32" customFormat="1" x14ac:dyDescent="0.25">
      <c r="A237" s="315"/>
      <c r="B237" s="315"/>
      <c r="C237" s="326"/>
      <c r="D237" s="315"/>
      <c r="E237" s="321"/>
      <c r="F237" s="322"/>
      <c r="G237" s="366"/>
    </row>
    <row r="238" spans="1:7" s="32" customFormat="1" x14ac:dyDescent="0.25">
      <c r="A238" s="315"/>
      <c r="B238" s="315"/>
      <c r="C238" s="326"/>
      <c r="D238" s="315"/>
      <c r="E238" s="321"/>
      <c r="F238" s="322"/>
      <c r="G238" s="366"/>
    </row>
    <row r="239" spans="1:7" s="32" customFormat="1" x14ac:dyDescent="0.25">
      <c r="A239" s="315"/>
      <c r="B239" s="315"/>
      <c r="C239" s="326"/>
      <c r="D239" s="315"/>
      <c r="E239" s="321"/>
      <c r="F239" s="322"/>
      <c r="G239" s="366"/>
    </row>
    <row r="240" spans="1:7" s="32" customFormat="1" x14ac:dyDescent="0.25">
      <c r="A240" s="315"/>
      <c r="B240" s="315"/>
      <c r="C240" s="326"/>
      <c r="D240" s="315"/>
      <c r="E240" s="321"/>
      <c r="F240" s="322"/>
      <c r="G240" s="366"/>
    </row>
    <row r="241" spans="1:7" s="32" customFormat="1" x14ac:dyDescent="0.25">
      <c r="A241" s="315"/>
      <c r="B241" s="315"/>
      <c r="C241" s="326"/>
      <c r="D241" s="315"/>
      <c r="E241" s="321"/>
      <c r="F241" s="322"/>
      <c r="G241" s="366"/>
    </row>
    <row r="242" spans="1:7" s="32" customFormat="1" x14ac:dyDescent="0.25">
      <c r="A242" s="315"/>
      <c r="B242" s="315"/>
      <c r="C242" s="326"/>
      <c r="D242" s="315"/>
      <c r="E242" s="321"/>
      <c r="F242" s="322"/>
      <c r="G242" s="366"/>
    </row>
    <row r="243" spans="1:7" s="32" customFormat="1" x14ac:dyDescent="0.25">
      <c r="A243" s="315"/>
      <c r="B243" s="315"/>
      <c r="C243" s="326"/>
      <c r="D243" s="315"/>
      <c r="E243" s="321"/>
      <c r="F243" s="322"/>
      <c r="G243" s="366"/>
    </row>
    <row r="244" spans="1:7" s="32" customFormat="1" x14ac:dyDescent="0.25">
      <c r="A244" s="315"/>
      <c r="B244" s="315"/>
      <c r="C244" s="326"/>
      <c r="D244" s="315"/>
      <c r="E244" s="321"/>
      <c r="F244" s="322"/>
      <c r="G244" s="366"/>
    </row>
    <row r="245" spans="1:7" s="32" customFormat="1" x14ac:dyDescent="0.25">
      <c r="A245" s="315"/>
      <c r="B245" s="315"/>
      <c r="C245" s="326"/>
      <c r="D245" s="315"/>
      <c r="E245" s="321"/>
      <c r="F245" s="322"/>
      <c r="G245" s="366"/>
    </row>
    <row r="246" spans="1:7" s="32" customFormat="1" x14ac:dyDescent="0.25">
      <c r="A246" s="315"/>
      <c r="B246" s="315"/>
      <c r="C246" s="326"/>
      <c r="D246" s="315"/>
      <c r="E246" s="321"/>
      <c r="F246" s="322"/>
      <c r="G246" s="366"/>
    </row>
    <row r="247" spans="1:7" s="32" customFormat="1" x14ac:dyDescent="0.25">
      <c r="A247" s="315"/>
      <c r="B247" s="315"/>
      <c r="C247" s="326"/>
      <c r="D247" s="315"/>
      <c r="E247" s="321"/>
      <c r="F247" s="322"/>
      <c r="G247" s="366"/>
    </row>
    <row r="248" spans="1:7" s="32" customFormat="1" x14ac:dyDescent="0.25">
      <c r="A248" s="315"/>
      <c r="B248" s="315"/>
      <c r="C248" s="326"/>
      <c r="D248" s="315"/>
      <c r="E248" s="321"/>
      <c r="F248" s="322"/>
      <c r="G248" s="366"/>
    </row>
    <row r="249" spans="1:7" s="32" customFormat="1" x14ac:dyDescent="0.25">
      <c r="A249" s="315"/>
      <c r="B249" s="315"/>
      <c r="C249" s="326"/>
      <c r="D249" s="315"/>
      <c r="E249" s="321"/>
      <c r="F249" s="322"/>
      <c r="G249" s="366"/>
    </row>
    <row r="250" spans="1:7" s="32" customFormat="1" x14ac:dyDescent="0.25">
      <c r="A250" s="315"/>
      <c r="B250" s="315"/>
      <c r="C250" s="326"/>
      <c r="D250" s="315"/>
      <c r="E250" s="321"/>
      <c r="F250" s="322"/>
      <c r="G250" s="366"/>
    </row>
    <row r="251" spans="1:7" s="32" customFormat="1" x14ac:dyDescent="0.25">
      <c r="A251" s="315"/>
      <c r="B251" s="315"/>
      <c r="C251" s="326"/>
      <c r="D251" s="315"/>
      <c r="E251" s="321"/>
      <c r="F251" s="322"/>
      <c r="G251" s="366"/>
    </row>
    <row r="252" spans="1:7" s="32" customFormat="1" x14ac:dyDescent="0.25">
      <c r="A252" s="315"/>
      <c r="B252" s="315"/>
      <c r="C252" s="326"/>
      <c r="D252" s="315"/>
      <c r="E252" s="321"/>
      <c r="F252" s="322"/>
      <c r="G252" s="366"/>
    </row>
    <row r="253" spans="1:7" s="32" customFormat="1" x14ac:dyDescent="0.25">
      <c r="A253" s="315"/>
      <c r="B253" s="315"/>
      <c r="C253" s="326"/>
      <c r="D253" s="315"/>
      <c r="E253" s="321"/>
      <c r="F253" s="322"/>
      <c r="G253" s="366"/>
    </row>
    <row r="254" spans="1:7" s="32" customFormat="1" x14ac:dyDescent="0.25">
      <c r="A254" s="315"/>
      <c r="B254" s="315"/>
      <c r="C254" s="326"/>
      <c r="D254" s="315"/>
      <c r="E254" s="321"/>
      <c r="F254" s="322"/>
      <c r="G254" s="366"/>
    </row>
    <row r="255" spans="1:7" s="32" customFormat="1" x14ac:dyDescent="0.25">
      <c r="A255" s="315"/>
      <c r="B255" s="315"/>
      <c r="C255" s="326"/>
      <c r="D255" s="315"/>
      <c r="E255" s="321"/>
      <c r="F255" s="322"/>
      <c r="G255" s="366"/>
    </row>
    <row r="256" spans="1:7" s="32" customFormat="1" x14ac:dyDescent="0.25">
      <c r="A256" s="315"/>
      <c r="B256" s="315"/>
      <c r="C256" s="326"/>
      <c r="D256" s="315"/>
      <c r="E256" s="321"/>
      <c r="F256" s="322"/>
      <c r="G256" s="366"/>
    </row>
    <row r="257" spans="1:7" s="32" customFormat="1" x14ac:dyDescent="0.25">
      <c r="A257" s="315"/>
      <c r="B257" s="315"/>
      <c r="C257" s="326"/>
      <c r="D257" s="315"/>
      <c r="E257" s="321"/>
      <c r="F257" s="322"/>
      <c r="G257" s="366"/>
    </row>
    <row r="258" spans="1:7" s="32" customFormat="1" x14ac:dyDescent="0.25">
      <c r="A258" s="315"/>
      <c r="B258" s="315"/>
      <c r="C258" s="326"/>
      <c r="D258" s="315"/>
      <c r="E258" s="321"/>
      <c r="F258" s="322"/>
      <c r="G258" s="366"/>
    </row>
    <row r="259" spans="1:7" s="32" customFormat="1" x14ac:dyDescent="0.25">
      <c r="A259" s="315"/>
      <c r="B259" s="315"/>
      <c r="C259" s="326"/>
      <c r="D259" s="315"/>
      <c r="E259" s="321"/>
      <c r="F259" s="322"/>
      <c r="G259" s="366"/>
    </row>
    <row r="260" spans="1:7" s="32" customFormat="1" x14ac:dyDescent="0.25">
      <c r="A260" s="315"/>
      <c r="B260" s="315"/>
      <c r="C260" s="326"/>
      <c r="D260" s="315"/>
      <c r="E260" s="321"/>
      <c r="F260" s="322"/>
      <c r="G260" s="366"/>
    </row>
    <row r="261" spans="1:7" s="32" customFormat="1" x14ac:dyDescent="0.25">
      <c r="A261" s="315"/>
      <c r="B261" s="315"/>
      <c r="C261" s="326"/>
      <c r="D261" s="315"/>
      <c r="E261" s="321"/>
      <c r="F261" s="322"/>
      <c r="G261" s="366"/>
    </row>
    <row r="262" spans="1:7" s="32" customFormat="1" x14ac:dyDescent="0.25">
      <c r="A262" s="315"/>
      <c r="B262" s="315"/>
      <c r="C262" s="326"/>
      <c r="D262" s="315"/>
      <c r="E262" s="321"/>
      <c r="F262" s="322"/>
      <c r="G262" s="366"/>
    </row>
    <row r="263" spans="1:7" s="32" customFormat="1" x14ac:dyDescent="0.25">
      <c r="A263" s="315"/>
      <c r="B263" s="315"/>
      <c r="C263" s="326"/>
      <c r="D263" s="315"/>
      <c r="E263" s="321"/>
      <c r="F263" s="322"/>
      <c r="G263" s="366"/>
    </row>
    <row r="264" spans="1:7" s="32" customFormat="1" x14ac:dyDescent="0.25">
      <c r="A264" s="315"/>
      <c r="B264" s="315"/>
      <c r="C264" s="326"/>
      <c r="D264" s="315"/>
      <c r="E264" s="321"/>
      <c r="F264" s="322"/>
      <c r="G264" s="366"/>
    </row>
    <row r="265" spans="1:7" s="32" customFormat="1" x14ac:dyDescent="0.25">
      <c r="A265" s="315"/>
      <c r="B265" s="315"/>
      <c r="C265" s="326"/>
      <c r="D265" s="315"/>
      <c r="E265" s="321"/>
      <c r="F265" s="322"/>
      <c r="G265" s="366"/>
    </row>
    <row r="266" spans="1:7" s="32" customFormat="1" x14ac:dyDescent="0.25">
      <c r="A266" s="315"/>
      <c r="B266" s="315"/>
      <c r="C266" s="326"/>
      <c r="D266" s="315"/>
      <c r="E266" s="321"/>
      <c r="F266" s="322"/>
      <c r="G266" s="366"/>
    </row>
    <row r="267" spans="1:7" s="32" customFormat="1" x14ac:dyDescent="0.25">
      <c r="A267" s="315"/>
      <c r="B267" s="315"/>
      <c r="C267" s="326"/>
      <c r="D267" s="315"/>
      <c r="E267" s="321"/>
      <c r="F267" s="322"/>
      <c r="G267" s="366"/>
    </row>
    <row r="268" spans="1:7" s="32" customFormat="1" x14ac:dyDescent="0.25">
      <c r="A268" s="315"/>
      <c r="B268" s="315"/>
      <c r="C268" s="326"/>
      <c r="D268" s="315"/>
      <c r="E268" s="321"/>
      <c r="F268" s="322"/>
      <c r="G268" s="366"/>
    </row>
    <row r="269" spans="1:7" s="32" customFormat="1" x14ac:dyDescent="0.25">
      <c r="A269" s="315"/>
      <c r="B269" s="315"/>
      <c r="C269" s="326"/>
      <c r="D269" s="315"/>
      <c r="E269" s="321"/>
      <c r="F269" s="322"/>
      <c r="G269" s="366"/>
    </row>
    <row r="270" spans="1:7" s="32" customFormat="1" x14ac:dyDescent="0.25">
      <c r="A270" s="315"/>
      <c r="B270" s="315"/>
      <c r="C270" s="326"/>
      <c r="D270" s="315"/>
      <c r="E270" s="321"/>
      <c r="F270" s="322"/>
      <c r="G270" s="366"/>
    </row>
    <row r="271" spans="1:7" s="32" customFormat="1" x14ac:dyDescent="0.25">
      <c r="A271" s="315"/>
      <c r="B271" s="315"/>
      <c r="C271" s="326"/>
      <c r="D271" s="315"/>
      <c r="E271" s="321"/>
      <c r="F271" s="322"/>
      <c r="G271" s="366"/>
    </row>
    <row r="272" spans="1:7" s="32" customFormat="1" x14ac:dyDescent="0.25">
      <c r="A272" s="315"/>
      <c r="B272" s="315"/>
      <c r="C272" s="326"/>
      <c r="D272" s="315"/>
      <c r="E272" s="321"/>
      <c r="F272" s="322"/>
      <c r="G272" s="366"/>
    </row>
    <row r="273" spans="1:7" s="32" customFormat="1" x14ac:dyDescent="0.25">
      <c r="A273" s="315"/>
      <c r="B273" s="315"/>
      <c r="C273" s="326"/>
      <c r="D273" s="315"/>
      <c r="E273" s="321"/>
      <c r="F273" s="322"/>
      <c r="G273" s="366"/>
    </row>
    <row r="274" spans="1:7" s="32" customFormat="1" x14ac:dyDescent="0.25">
      <c r="A274" s="315"/>
      <c r="B274" s="315"/>
      <c r="C274" s="326"/>
      <c r="D274" s="315"/>
      <c r="E274" s="321"/>
      <c r="F274" s="322"/>
      <c r="G274" s="366"/>
    </row>
    <row r="275" spans="1:7" s="32" customFormat="1" x14ac:dyDescent="0.25">
      <c r="A275" s="315"/>
      <c r="B275" s="315"/>
      <c r="C275" s="326"/>
      <c r="D275" s="315"/>
      <c r="E275" s="321"/>
      <c r="F275" s="322"/>
      <c r="G275" s="366"/>
    </row>
    <row r="276" spans="1:7" s="32" customFormat="1" x14ac:dyDescent="0.25">
      <c r="A276" s="315"/>
      <c r="B276" s="315"/>
      <c r="C276" s="326"/>
      <c r="D276" s="315"/>
      <c r="E276" s="321"/>
      <c r="F276" s="322"/>
      <c r="G276" s="366"/>
    </row>
    <row r="277" spans="1:7" s="32" customFormat="1" x14ac:dyDescent="0.25">
      <c r="A277" s="315"/>
      <c r="B277" s="315"/>
      <c r="C277" s="326"/>
      <c r="D277" s="315"/>
      <c r="E277" s="321"/>
      <c r="F277" s="322"/>
      <c r="G277" s="366"/>
    </row>
    <row r="278" spans="1:7" s="32" customFormat="1" x14ac:dyDescent="0.25">
      <c r="A278" s="315"/>
      <c r="B278" s="315"/>
      <c r="C278" s="326"/>
      <c r="D278" s="315"/>
      <c r="E278" s="321"/>
      <c r="F278" s="322"/>
      <c r="G278" s="366"/>
    </row>
    <row r="279" spans="1:7" s="32" customFormat="1" x14ac:dyDescent="0.25">
      <c r="A279" s="315"/>
      <c r="B279" s="315"/>
      <c r="C279" s="326"/>
      <c r="D279" s="315"/>
      <c r="E279" s="321"/>
      <c r="F279" s="322"/>
      <c r="G279" s="366"/>
    </row>
    <row r="280" spans="1:7" s="32" customFormat="1" x14ac:dyDescent="0.25">
      <c r="A280" s="315"/>
      <c r="B280" s="315"/>
      <c r="C280" s="326"/>
      <c r="D280" s="315"/>
      <c r="E280" s="321"/>
      <c r="F280" s="322"/>
      <c r="G280" s="366"/>
    </row>
    <row r="281" spans="1:7" s="32" customFormat="1" x14ac:dyDescent="0.25">
      <c r="A281" s="315"/>
      <c r="B281" s="315"/>
      <c r="C281" s="326"/>
      <c r="D281" s="315"/>
      <c r="E281" s="321"/>
      <c r="F281" s="322"/>
      <c r="G281" s="366"/>
    </row>
    <row r="282" spans="1:7" s="32" customFormat="1" x14ac:dyDescent="0.25">
      <c r="A282" s="315"/>
      <c r="B282" s="315"/>
      <c r="C282" s="326"/>
      <c r="D282" s="315"/>
      <c r="E282" s="321"/>
      <c r="F282" s="322"/>
      <c r="G282" s="366"/>
    </row>
    <row r="283" spans="1:7" s="32" customFormat="1" x14ac:dyDescent="0.25">
      <c r="A283" s="315"/>
      <c r="B283" s="315"/>
      <c r="C283" s="326"/>
      <c r="D283" s="315"/>
      <c r="E283" s="321"/>
      <c r="F283" s="322"/>
      <c r="G283" s="366"/>
    </row>
    <row r="284" spans="1:7" s="32" customFormat="1" x14ac:dyDescent="0.25">
      <c r="A284" s="315"/>
      <c r="B284" s="315"/>
      <c r="C284" s="326"/>
      <c r="D284" s="315"/>
      <c r="E284" s="321"/>
      <c r="F284" s="322"/>
      <c r="G284" s="366"/>
    </row>
    <row r="285" spans="1:7" s="32" customFormat="1" x14ac:dyDescent="0.25">
      <c r="A285" s="315"/>
      <c r="B285" s="315"/>
      <c r="C285" s="326"/>
      <c r="D285" s="315"/>
      <c r="E285" s="321"/>
      <c r="F285" s="322"/>
      <c r="G285" s="366"/>
    </row>
    <row r="286" spans="1:7" s="32" customFormat="1" x14ac:dyDescent="0.25">
      <c r="A286" s="315"/>
      <c r="B286" s="315"/>
      <c r="C286" s="326"/>
      <c r="D286" s="315"/>
      <c r="E286" s="321"/>
      <c r="F286" s="322"/>
      <c r="G286" s="366"/>
    </row>
    <row r="287" spans="1:7" s="32" customFormat="1" x14ac:dyDescent="0.25">
      <c r="A287" s="315"/>
      <c r="B287" s="315"/>
      <c r="C287" s="326"/>
      <c r="D287" s="315"/>
      <c r="E287" s="321"/>
      <c r="F287" s="322"/>
      <c r="G287" s="366"/>
    </row>
    <row r="288" spans="1:7" s="32" customFormat="1" x14ac:dyDescent="0.25">
      <c r="A288" s="315"/>
      <c r="B288" s="315"/>
      <c r="C288" s="326"/>
      <c r="D288" s="315"/>
      <c r="E288" s="321"/>
      <c r="F288" s="322"/>
      <c r="G288" s="366"/>
    </row>
    <row r="289" spans="1:7" s="32" customFormat="1" x14ac:dyDescent="0.25">
      <c r="A289" s="315"/>
      <c r="B289" s="315"/>
      <c r="C289" s="326"/>
      <c r="D289" s="315"/>
      <c r="E289" s="321"/>
      <c r="F289" s="322"/>
      <c r="G289" s="366"/>
    </row>
    <row r="290" spans="1:7" s="32" customFormat="1" x14ac:dyDescent="0.25">
      <c r="A290" s="315"/>
      <c r="B290" s="315"/>
      <c r="C290" s="326"/>
      <c r="D290" s="315"/>
      <c r="E290" s="321"/>
      <c r="F290" s="322"/>
      <c r="G290" s="366"/>
    </row>
    <row r="291" spans="1:7" s="32" customFormat="1" x14ac:dyDescent="0.25">
      <c r="A291" s="315"/>
      <c r="B291" s="315"/>
      <c r="C291" s="326"/>
      <c r="D291" s="315"/>
      <c r="E291" s="321"/>
      <c r="F291" s="322"/>
      <c r="G291" s="366"/>
    </row>
    <row r="292" spans="1:7" s="32" customFormat="1" x14ac:dyDescent="0.25">
      <c r="A292" s="315"/>
      <c r="B292" s="315"/>
      <c r="C292" s="326"/>
      <c r="D292" s="315"/>
      <c r="E292" s="321"/>
      <c r="F292" s="322"/>
      <c r="G292" s="366"/>
    </row>
    <row r="293" spans="1:7" s="32" customFormat="1" x14ac:dyDescent="0.25">
      <c r="A293" s="315"/>
      <c r="B293" s="315"/>
      <c r="C293" s="326"/>
      <c r="D293" s="315"/>
      <c r="E293" s="321"/>
      <c r="F293" s="322"/>
      <c r="G293" s="366"/>
    </row>
    <row r="294" spans="1:7" s="32" customFormat="1" x14ac:dyDescent="0.25">
      <c r="A294" s="315"/>
      <c r="B294" s="315"/>
      <c r="C294" s="326"/>
      <c r="D294" s="315"/>
      <c r="E294" s="321"/>
      <c r="F294" s="322"/>
      <c r="G294" s="366"/>
    </row>
    <row r="295" spans="1:7" s="32" customFormat="1" x14ac:dyDescent="0.25">
      <c r="A295" s="315"/>
      <c r="B295" s="315"/>
      <c r="C295" s="326"/>
      <c r="D295" s="315"/>
      <c r="E295" s="321"/>
      <c r="F295" s="322"/>
      <c r="G295" s="366"/>
    </row>
    <row r="296" spans="1:7" s="32" customFormat="1" x14ac:dyDescent="0.25">
      <c r="A296" s="315"/>
      <c r="B296" s="315"/>
      <c r="C296" s="326"/>
      <c r="D296" s="315"/>
      <c r="E296" s="321"/>
      <c r="F296" s="322"/>
      <c r="G296" s="366"/>
    </row>
    <row r="297" spans="1:7" s="32" customFormat="1" x14ac:dyDescent="0.25">
      <c r="A297" s="315"/>
      <c r="B297" s="315"/>
      <c r="C297" s="326"/>
      <c r="D297" s="315"/>
      <c r="E297" s="321"/>
      <c r="F297" s="322"/>
      <c r="G297" s="366"/>
    </row>
    <row r="298" spans="1:7" s="32" customFormat="1" x14ac:dyDescent="0.25">
      <c r="A298" s="315"/>
      <c r="B298" s="315"/>
      <c r="C298" s="326"/>
      <c r="D298" s="315"/>
      <c r="E298" s="321"/>
      <c r="F298" s="322"/>
      <c r="G298" s="366"/>
    </row>
    <row r="299" spans="1:7" s="32" customFormat="1" x14ac:dyDescent="0.25">
      <c r="A299" s="315"/>
      <c r="B299" s="315"/>
      <c r="C299" s="326"/>
      <c r="D299" s="315"/>
      <c r="E299" s="321"/>
      <c r="F299" s="322"/>
      <c r="G299" s="366"/>
    </row>
    <row r="300" spans="1:7" s="32" customFormat="1" x14ac:dyDescent="0.25">
      <c r="A300" s="315"/>
      <c r="B300" s="315"/>
      <c r="C300" s="326"/>
      <c r="D300" s="315"/>
      <c r="E300" s="321"/>
      <c r="F300" s="322"/>
      <c r="G300" s="366"/>
    </row>
    <row r="301" spans="1:7" s="32" customFormat="1" x14ac:dyDescent="0.25">
      <c r="A301" s="315"/>
      <c r="B301" s="315"/>
      <c r="C301" s="326"/>
      <c r="D301" s="315"/>
      <c r="E301" s="321"/>
      <c r="F301" s="322"/>
      <c r="G301" s="366"/>
    </row>
    <row r="302" spans="1:7" s="32" customFormat="1" x14ac:dyDescent="0.25">
      <c r="A302" s="315"/>
      <c r="B302" s="315"/>
      <c r="C302" s="326"/>
      <c r="D302" s="315"/>
      <c r="E302" s="321"/>
      <c r="F302" s="322"/>
      <c r="G302" s="366"/>
    </row>
    <row r="303" spans="1:7" s="32" customFormat="1" x14ac:dyDescent="0.25">
      <c r="A303" s="315"/>
      <c r="B303" s="315"/>
      <c r="C303" s="326"/>
      <c r="D303" s="315"/>
      <c r="E303" s="321"/>
      <c r="F303" s="322"/>
      <c r="G303" s="366"/>
    </row>
    <row r="304" spans="1:7" s="32" customFormat="1" x14ac:dyDescent="0.25">
      <c r="A304" s="315"/>
      <c r="B304" s="315"/>
      <c r="C304" s="326"/>
      <c r="D304" s="315"/>
      <c r="E304" s="321"/>
      <c r="F304" s="322"/>
      <c r="G304" s="366"/>
    </row>
    <row r="305" spans="1:7" s="32" customFormat="1" x14ac:dyDescent="0.25">
      <c r="A305" s="315"/>
      <c r="B305" s="315"/>
      <c r="C305" s="326"/>
      <c r="D305" s="315"/>
      <c r="E305" s="321"/>
      <c r="F305" s="322"/>
      <c r="G305" s="366"/>
    </row>
    <row r="306" spans="1:7" s="32" customFormat="1" x14ac:dyDescent="0.25">
      <c r="A306" s="315"/>
      <c r="B306" s="315"/>
      <c r="C306" s="326"/>
      <c r="D306" s="315"/>
      <c r="E306" s="321"/>
      <c r="F306" s="322"/>
      <c r="G306" s="366"/>
    </row>
    <row r="307" spans="1:7" s="32" customFormat="1" x14ac:dyDescent="0.25">
      <c r="A307" s="315"/>
      <c r="B307" s="315"/>
      <c r="C307" s="326"/>
      <c r="D307" s="315"/>
      <c r="E307" s="321"/>
      <c r="F307" s="322"/>
      <c r="G307" s="366"/>
    </row>
    <row r="308" spans="1:7" s="32" customFormat="1" x14ac:dyDescent="0.25">
      <c r="A308" s="315"/>
      <c r="B308" s="315"/>
      <c r="C308" s="326"/>
      <c r="D308" s="315"/>
      <c r="E308" s="321"/>
      <c r="F308" s="322"/>
      <c r="G308" s="366"/>
    </row>
    <row r="309" spans="1:7" s="32" customFormat="1" x14ac:dyDescent="0.25">
      <c r="A309" s="315"/>
      <c r="B309" s="315"/>
      <c r="C309" s="326"/>
      <c r="D309" s="315"/>
      <c r="E309" s="321"/>
      <c r="F309" s="322"/>
      <c r="G309" s="366"/>
    </row>
    <row r="310" spans="1:7" s="32" customFormat="1" x14ac:dyDescent="0.25">
      <c r="A310" s="315"/>
      <c r="B310" s="315"/>
      <c r="C310" s="326"/>
      <c r="D310" s="315"/>
      <c r="E310" s="321"/>
      <c r="F310" s="322"/>
      <c r="G310" s="366"/>
    </row>
    <row r="311" spans="1:7" s="32" customFormat="1" x14ac:dyDescent="0.25">
      <c r="A311" s="315"/>
      <c r="B311" s="315"/>
      <c r="C311" s="326"/>
      <c r="D311" s="315"/>
      <c r="E311" s="321"/>
      <c r="F311" s="322"/>
      <c r="G311" s="366"/>
    </row>
    <row r="312" spans="1:7" s="32" customFormat="1" x14ac:dyDescent="0.25">
      <c r="A312" s="315"/>
      <c r="B312" s="315"/>
      <c r="C312" s="326"/>
      <c r="D312" s="315"/>
      <c r="E312" s="321"/>
      <c r="F312" s="322"/>
      <c r="G312" s="366"/>
    </row>
    <row r="313" spans="1:7" s="32" customFormat="1" x14ac:dyDescent="0.25">
      <c r="A313" s="315"/>
      <c r="B313" s="315"/>
      <c r="C313" s="326"/>
      <c r="D313" s="315"/>
      <c r="E313" s="321"/>
      <c r="F313" s="322"/>
      <c r="G313" s="366"/>
    </row>
    <row r="314" spans="1:7" s="32" customFormat="1" x14ac:dyDescent="0.25">
      <c r="A314" s="315"/>
      <c r="B314" s="315"/>
      <c r="C314" s="326"/>
      <c r="D314" s="315"/>
      <c r="E314" s="321"/>
      <c r="F314" s="322"/>
      <c r="G314" s="366"/>
    </row>
    <row r="315" spans="1:7" s="32" customFormat="1" x14ac:dyDescent="0.25">
      <c r="A315" s="315"/>
      <c r="B315" s="315"/>
      <c r="C315" s="326"/>
      <c r="D315" s="315"/>
      <c r="E315" s="321"/>
      <c r="F315" s="322"/>
      <c r="G315" s="366"/>
    </row>
    <row r="316" spans="1:7" s="32" customFormat="1" x14ac:dyDescent="0.25">
      <c r="A316" s="315"/>
      <c r="B316" s="315"/>
      <c r="C316" s="326"/>
      <c r="D316" s="315"/>
      <c r="E316" s="321"/>
      <c r="F316" s="322"/>
      <c r="G316" s="366"/>
    </row>
    <row r="317" spans="1:7" s="32" customFormat="1" x14ac:dyDescent="0.25">
      <c r="A317" s="315"/>
      <c r="B317" s="315"/>
      <c r="C317" s="326"/>
      <c r="D317" s="315"/>
      <c r="E317" s="321"/>
      <c r="F317" s="322"/>
      <c r="G317" s="366"/>
    </row>
    <row r="318" spans="1:7" s="32" customFormat="1" x14ac:dyDescent="0.25">
      <c r="A318" s="315"/>
      <c r="B318" s="315"/>
      <c r="C318" s="326"/>
      <c r="D318" s="315"/>
      <c r="E318" s="321"/>
      <c r="F318" s="322"/>
      <c r="G318" s="366"/>
    </row>
    <row r="319" spans="1:7" s="32" customFormat="1" x14ac:dyDescent="0.25">
      <c r="A319" s="315"/>
      <c r="B319" s="315"/>
      <c r="C319" s="326"/>
      <c r="D319" s="315"/>
      <c r="E319" s="321"/>
      <c r="F319" s="322"/>
      <c r="G319" s="366"/>
    </row>
    <row r="320" spans="1:7" s="32" customFormat="1" x14ac:dyDescent="0.25">
      <c r="A320" s="315"/>
      <c r="B320" s="315"/>
      <c r="C320" s="326"/>
      <c r="D320" s="315"/>
      <c r="E320" s="321"/>
      <c r="F320" s="322"/>
      <c r="G320" s="366"/>
    </row>
    <row r="321" spans="1:7" s="32" customFormat="1" x14ac:dyDescent="0.25">
      <c r="A321" s="315"/>
      <c r="B321" s="315"/>
      <c r="C321" s="326"/>
      <c r="D321" s="315"/>
      <c r="E321" s="321"/>
      <c r="F321" s="322"/>
      <c r="G321" s="366"/>
    </row>
    <row r="322" spans="1:7" s="32" customFormat="1" x14ac:dyDescent="0.25">
      <c r="A322" s="315"/>
      <c r="B322" s="315"/>
      <c r="C322" s="326"/>
      <c r="D322" s="315"/>
      <c r="E322" s="321"/>
      <c r="F322" s="322"/>
      <c r="G322" s="366"/>
    </row>
    <row r="323" spans="1:7" s="32" customFormat="1" x14ac:dyDescent="0.25">
      <c r="A323" s="315"/>
      <c r="B323" s="315"/>
      <c r="C323" s="326"/>
      <c r="D323" s="315"/>
      <c r="E323" s="321"/>
      <c r="F323" s="322"/>
      <c r="G323" s="366"/>
    </row>
    <row r="324" spans="1:7" s="32" customFormat="1" x14ac:dyDescent="0.25">
      <c r="A324" s="315"/>
      <c r="B324" s="315"/>
      <c r="C324" s="326"/>
      <c r="D324" s="315"/>
      <c r="E324" s="321"/>
      <c r="F324" s="322"/>
      <c r="G324" s="366"/>
    </row>
    <row r="325" spans="1:7" s="32" customFormat="1" x14ac:dyDescent="0.25">
      <c r="A325" s="315"/>
      <c r="B325" s="315"/>
      <c r="C325" s="326"/>
      <c r="D325" s="315"/>
      <c r="E325" s="321"/>
      <c r="F325" s="322"/>
      <c r="G325" s="366"/>
    </row>
    <row r="326" spans="1:7" s="32" customFormat="1" x14ac:dyDescent="0.25">
      <c r="A326" s="315"/>
      <c r="B326" s="315"/>
      <c r="C326" s="326"/>
      <c r="D326" s="315"/>
      <c r="E326" s="321"/>
      <c r="F326" s="322"/>
      <c r="G326" s="366"/>
    </row>
    <row r="327" spans="1:7" s="32" customFormat="1" x14ac:dyDescent="0.25">
      <c r="A327" s="315"/>
      <c r="B327" s="315"/>
      <c r="C327" s="326"/>
      <c r="D327" s="315"/>
      <c r="E327" s="321"/>
      <c r="F327" s="322"/>
      <c r="G327" s="366"/>
    </row>
    <row r="328" spans="1:7" s="32" customFormat="1" x14ac:dyDescent="0.25">
      <c r="A328" s="315"/>
      <c r="B328" s="315"/>
      <c r="C328" s="326"/>
      <c r="D328" s="315"/>
      <c r="E328" s="321"/>
      <c r="F328" s="322"/>
      <c r="G328" s="366"/>
    </row>
    <row r="329" spans="1:7" s="32" customFormat="1" x14ac:dyDescent="0.25">
      <c r="A329" s="315"/>
      <c r="B329" s="315"/>
      <c r="C329" s="326"/>
      <c r="D329" s="315"/>
      <c r="E329" s="321"/>
      <c r="F329" s="322"/>
      <c r="G329" s="366"/>
    </row>
    <row r="330" spans="1:7" s="32" customFormat="1" x14ac:dyDescent="0.25">
      <c r="A330" s="315"/>
      <c r="B330" s="315"/>
      <c r="C330" s="326"/>
      <c r="D330" s="315"/>
      <c r="E330" s="321"/>
      <c r="F330" s="322"/>
      <c r="G330" s="366"/>
    </row>
    <row r="331" spans="1:7" s="32" customFormat="1" x14ac:dyDescent="0.25">
      <c r="A331" s="315"/>
      <c r="B331" s="315"/>
      <c r="C331" s="326"/>
      <c r="D331" s="315"/>
      <c r="E331" s="321"/>
      <c r="F331" s="322"/>
      <c r="G331" s="366"/>
    </row>
    <row r="332" spans="1:7" s="32" customFormat="1" x14ac:dyDescent="0.25">
      <c r="A332" s="315"/>
      <c r="B332" s="315"/>
      <c r="C332" s="326"/>
      <c r="D332" s="315"/>
      <c r="E332" s="321"/>
      <c r="F332" s="322"/>
      <c r="G332" s="366"/>
    </row>
    <row r="333" spans="1:7" s="32" customFormat="1" x14ac:dyDescent="0.25">
      <c r="A333" s="315"/>
      <c r="B333" s="315"/>
      <c r="C333" s="326"/>
      <c r="D333" s="315"/>
      <c r="E333" s="321"/>
      <c r="F333" s="322"/>
      <c r="G333" s="366"/>
    </row>
    <row r="334" spans="1:7" s="32" customFormat="1" x14ac:dyDescent="0.25">
      <c r="A334" s="315"/>
      <c r="B334" s="315"/>
      <c r="C334" s="326"/>
      <c r="D334" s="315"/>
      <c r="E334" s="321"/>
      <c r="F334" s="322"/>
      <c r="G334" s="366"/>
    </row>
    <row r="335" spans="1:7" s="32" customFormat="1" x14ac:dyDescent="0.25">
      <c r="A335" s="315"/>
      <c r="B335" s="315"/>
      <c r="C335" s="326"/>
      <c r="D335" s="315"/>
      <c r="E335" s="321"/>
      <c r="F335" s="322"/>
      <c r="G335" s="366"/>
    </row>
    <row r="336" spans="1:7" s="32" customFormat="1" x14ac:dyDescent="0.25">
      <c r="A336" s="315"/>
      <c r="B336" s="315"/>
      <c r="C336" s="326"/>
      <c r="D336" s="315"/>
      <c r="E336" s="321"/>
      <c r="F336" s="322"/>
      <c r="G336" s="366"/>
    </row>
    <row r="337" spans="1:7" s="32" customFormat="1" x14ac:dyDescent="0.25">
      <c r="A337" s="315"/>
      <c r="B337" s="315"/>
      <c r="C337" s="326"/>
      <c r="D337" s="315"/>
      <c r="E337" s="321"/>
      <c r="F337" s="322"/>
      <c r="G337" s="366"/>
    </row>
    <row r="338" spans="1:7" s="32" customFormat="1" x14ac:dyDescent="0.25">
      <c r="A338" s="315"/>
      <c r="B338" s="315"/>
      <c r="C338" s="326"/>
      <c r="D338" s="315"/>
      <c r="E338" s="321"/>
      <c r="F338" s="322"/>
      <c r="G338" s="366"/>
    </row>
    <row r="339" spans="1:7" s="32" customFormat="1" x14ac:dyDescent="0.25">
      <c r="A339" s="315"/>
      <c r="B339" s="315"/>
      <c r="C339" s="326"/>
      <c r="D339" s="315"/>
      <c r="E339" s="321"/>
      <c r="F339" s="322"/>
      <c r="G339" s="366"/>
    </row>
    <row r="340" spans="1:7" s="32" customFormat="1" x14ac:dyDescent="0.25">
      <c r="A340" s="315"/>
      <c r="B340" s="315"/>
      <c r="C340" s="326"/>
      <c r="D340" s="315"/>
      <c r="E340" s="321"/>
      <c r="F340" s="322"/>
      <c r="G340" s="366"/>
    </row>
    <row r="341" spans="1:7" s="32" customFormat="1" x14ac:dyDescent="0.25">
      <c r="A341" s="315"/>
      <c r="B341" s="315"/>
      <c r="C341" s="326"/>
      <c r="D341" s="315"/>
      <c r="E341" s="321"/>
      <c r="F341" s="322"/>
      <c r="G341" s="366"/>
    </row>
    <row r="342" spans="1:7" s="32" customFormat="1" x14ac:dyDescent="0.25">
      <c r="A342" s="315"/>
      <c r="B342" s="315"/>
      <c r="C342" s="326"/>
      <c r="D342" s="315"/>
      <c r="E342" s="321"/>
      <c r="F342" s="322"/>
      <c r="G342" s="366"/>
    </row>
    <row r="343" spans="1:7" s="32" customFormat="1" x14ac:dyDescent="0.25">
      <c r="A343" s="315"/>
      <c r="B343" s="315"/>
      <c r="C343" s="326"/>
      <c r="D343" s="315"/>
      <c r="E343" s="321"/>
      <c r="F343" s="322"/>
      <c r="G343" s="366"/>
    </row>
    <row r="344" spans="1:7" s="32" customFormat="1" x14ac:dyDescent="0.25">
      <c r="A344" s="315"/>
      <c r="B344" s="315"/>
      <c r="C344" s="326"/>
      <c r="D344" s="315"/>
      <c r="E344" s="321"/>
      <c r="F344" s="322"/>
      <c r="G344" s="366"/>
    </row>
    <row r="345" spans="1:7" s="32" customFormat="1" x14ac:dyDescent="0.25">
      <c r="A345" s="315"/>
      <c r="B345" s="315"/>
      <c r="C345" s="326"/>
      <c r="D345" s="315"/>
      <c r="E345" s="321"/>
      <c r="F345" s="322"/>
      <c r="G345" s="366"/>
    </row>
    <row r="346" spans="1:7" s="32" customFormat="1" x14ac:dyDescent="0.25">
      <c r="A346" s="315"/>
      <c r="B346" s="315"/>
      <c r="C346" s="326"/>
      <c r="D346" s="315"/>
      <c r="E346" s="321"/>
      <c r="F346" s="322"/>
      <c r="G346" s="366"/>
    </row>
    <row r="347" spans="1:7" s="32" customFormat="1" x14ac:dyDescent="0.25">
      <c r="A347" s="315"/>
      <c r="B347" s="315"/>
      <c r="C347" s="326"/>
      <c r="D347" s="315"/>
      <c r="E347" s="321"/>
      <c r="F347" s="322"/>
      <c r="G347" s="366"/>
    </row>
    <row r="348" spans="1:7" s="32" customFormat="1" x14ac:dyDescent="0.25">
      <c r="A348" s="315"/>
      <c r="B348" s="315"/>
      <c r="C348" s="326"/>
      <c r="D348" s="315"/>
      <c r="E348" s="321"/>
      <c r="F348" s="322"/>
      <c r="G348" s="366"/>
    </row>
    <row r="349" spans="1:7" s="32" customFormat="1" x14ac:dyDescent="0.25">
      <c r="A349" s="315"/>
      <c r="B349" s="315"/>
      <c r="C349" s="326"/>
      <c r="D349" s="315"/>
      <c r="E349" s="321"/>
      <c r="F349" s="322"/>
      <c r="G349" s="366"/>
    </row>
    <row r="350" spans="1:7" s="32" customFormat="1" x14ac:dyDescent="0.25">
      <c r="A350" s="315"/>
      <c r="B350" s="315"/>
      <c r="C350" s="326"/>
      <c r="D350" s="315"/>
      <c r="E350" s="321"/>
      <c r="F350" s="322"/>
      <c r="G350" s="366"/>
    </row>
    <row r="351" spans="1:7" s="32" customFormat="1" x14ac:dyDescent="0.25">
      <c r="A351" s="315"/>
      <c r="B351" s="315"/>
      <c r="C351" s="326"/>
      <c r="D351" s="315"/>
      <c r="E351" s="321"/>
      <c r="F351" s="322"/>
      <c r="G351" s="366"/>
    </row>
    <row r="352" spans="1:7" s="32" customFormat="1" x14ac:dyDescent="0.25">
      <c r="A352" s="315"/>
      <c r="B352" s="315"/>
      <c r="C352" s="326"/>
      <c r="D352" s="315"/>
      <c r="E352" s="321"/>
      <c r="F352" s="322"/>
      <c r="G352" s="366"/>
    </row>
    <row r="353" spans="1:7" s="32" customFormat="1" x14ac:dyDescent="0.25">
      <c r="A353" s="315"/>
      <c r="B353" s="315"/>
      <c r="C353" s="326"/>
      <c r="D353" s="315"/>
      <c r="E353" s="321"/>
      <c r="F353" s="322"/>
      <c r="G353" s="366"/>
    </row>
    <row r="354" spans="1:7" s="32" customFormat="1" x14ac:dyDescent="0.25">
      <c r="A354" s="315"/>
      <c r="B354" s="315"/>
      <c r="C354" s="326"/>
      <c r="D354" s="315"/>
      <c r="E354" s="321"/>
      <c r="F354" s="322"/>
      <c r="G354" s="366"/>
    </row>
    <row r="355" spans="1:7" s="32" customFormat="1" x14ac:dyDescent="0.25">
      <c r="A355" s="315"/>
      <c r="B355" s="315"/>
      <c r="C355" s="326"/>
      <c r="D355" s="315"/>
      <c r="E355" s="321"/>
      <c r="F355" s="322"/>
      <c r="G355" s="366"/>
    </row>
    <row r="356" spans="1:7" s="32" customFormat="1" x14ac:dyDescent="0.25">
      <c r="A356" s="315"/>
      <c r="B356" s="315"/>
      <c r="C356" s="326"/>
      <c r="D356" s="315"/>
      <c r="E356" s="321"/>
      <c r="F356" s="322"/>
      <c r="G356" s="366"/>
    </row>
    <row r="357" spans="1:7" s="32" customFormat="1" x14ac:dyDescent="0.25">
      <c r="A357" s="315"/>
      <c r="B357" s="315"/>
      <c r="C357" s="326"/>
      <c r="D357" s="315"/>
      <c r="E357" s="321"/>
      <c r="F357" s="322"/>
      <c r="G357" s="366"/>
    </row>
    <row r="358" spans="1:7" s="32" customFormat="1" x14ac:dyDescent="0.25">
      <c r="A358" s="315"/>
      <c r="B358" s="315"/>
      <c r="C358" s="326"/>
      <c r="D358" s="315"/>
      <c r="E358" s="321"/>
      <c r="F358" s="322"/>
      <c r="G358" s="366"/>
    </row>
    <row r="359" spans="1:7" s="32" customFormat="1" x14ac:dyDescent="0.25">
      <c r="A359" s="315"/>
      <c r="B359" s="315"/>
      <c r="C359" s="326"/>
      <c r="D359" s="315"/>
      <c r="E359" s="321"/>
      <c r="F359" s="322"/>
      <c r="G359" s="366"/>
    </row>
    <row r="360" spans="1:7" s="32" customFormat="1" x14ac:dyDescent="0.25">
      <c r="A360" s="315"/>
      <c r="B360" s="315"/>
      <c r="C360" s="326"/>
      <c r="D360" s="315"/>
      <c r="E360" s="321"/>
      <c r="F360" s="322"/>
      <c r="G360" s="366"/>
    </row>
    <row r="361" spans="1:7" s="32" customFormat="1" x14ac:dyDescent="0.25">
      <c r="A361" s="315"/>
      <c r="B361" s="315"/>
      <c r="C361" s="326"/>
      <c r="D361" s="315"/>
      <c r="E361" s="321"/>
      <c r="F361" s="322"/>
      <c r="G361" s="366"/>
    </row>
    <row r="362" spans="1:7" s="32" customFormat="1" x14ac:dyDescent="0.25">
      <c r="A362" s="315"/>
      <c r="B362" s="315"/>
      <c r="C362" s="326"/>
      <c r="D362" s="315"/>
      <c r="E362" s="321"/>
      <c r="F362" s="322"/>
      <c r="G362" s="366"/>
    </row>
    <row r="363" spans="1:7" s="32" customFormat="1" x14ac:dyDescent="0.25">
      <c r="A363" s="315"/>
      <c r="B363" s="315"/>
      <c r="C363" s="326"/>
      <c r="D363" s="315"/>
      <c r="E363" s="321"/>
      <c r="F363" s="322"/>
      <c r="G363" s="366"/>
    </row>
    <row r="364" spans="1:7" s="32" customFormat="1" x14ac:dyDescent="0.25">
      <c r="A364" s="315"/>
      <c r="B364" s="315"/>
      <c r="C364" s="326"/>
      <c r="D364" s="315"/>
      <c r="E364" s="321"/>
      <c r="F364" s="322"/>
      <c r="G364" s="366"/>
    </row>
    <row r="365" spans="1:7" s="32" customFormat="1" x14ac:dyDescent="0.25">
      <c r="A365" s="315"/>
      <c r="B365" s="315"/>
      <c r="C365" s="326"/>
      <c r="D365" s="315"/>
      <c r="E365" s="321"/>
      <c r="F365" s="322"/>
      <c r="G365" s="366"/>
    </row>
    <row r="366" spans="1:7" s="32" customFormat="1" x14ac:dyDescent="0.25">
      <c r="A366" s="315"/>
      <c r="B366" s="315"/>
      <c r="C366" s="326"/>
      <c r="D366" s="315"/>
      <c r="E366" s="321"/>
      <c r="F366" s="322"/>
      <c r="G366" s="366"/>
    </row>
    <row r="367" spans="1:7" s="32" customFormat="1" x14ac:dyDescent="0.25">
      <c r="A367" s="315"/>
      <c r="B367" s="315"/>
      <c r="C367" s="326"/>
      <c r="D367" s="315"/>
      <c r="E367" s="321"/>
      <c r="F367" s="322"/>
      <c r="G367" s="366"/>
    </row>
    <row r="368" spans="1:7" s="32" customFormat="1" x14ac:dyDescent="0.25">
      <c r="A368" s="315"/>
      <c r="B368" s="315"/>
      <c r="C368" s="326"/>
      <c r="D368" s="315"/>
      <c r="E368" s="321"/>
      <c r="F368" s="322"/>
      <c r="G368" s="366"/>
    </row>
    <row r="369" spans="1:7" s="32" customFormat="1" x14ac:dyDescent="0.25">
      <c r="A369" s="315"/>
      <c r="B369" s="315"/>
      <c r="C369" s="326"/>
      <c r="D369" s="315"/>
      <c r="E369" s="321"/>
      <c r="F369" s="322"/>
      <c r="G369" s="366"/>
    </row>
    <row r="370" spans="1:7" s="32" customFormat="1" x14ac:dyDescent="0.25">
      <c r="A370" s="315"/>
      <c r="B370" s="315"/>
      <c r="C370" s="326"/>
      <c r="D370" s="315"/>
      <c r="E370" s="321"/>
      <c r="F370" s="322"/>
      <c r="G370" s="366"/>
    </row>
    <row r="371" spans="1:7" s="32" customFormat="1" x14ac:dyDescent="0.25">
      <c r="A371" s="315"/>
      <c r="B371" s="315"/>
      <c r="C371" s="326"/>
      <c r="D371" s="315"/>
      <c r="E371" s="321"/>
      <c r="F371" s="322"/>
      <c r="G371" s="366"/>
    </row>
    <row r="372" spans="1:7" s="32" customFormat="1" x14ac:dyDescent="0.25">
      <c r="A372" s="315"/>
      <c r="B372" s="315"/>
      <c r="C372" s="326"/>
      <c r="D372" s="315"/>
      <c r="E372" s="321"/>
      <c r="F372" s="322"/>
      <c r="G372" s="366"/>
    </row>
    <row r="373" spans="1:7" s="32" customFormat="1" x14ac:dyDescent="0.25">
      <c r="A373" s="315"/>
      <c r="B373" s="315"/>
      <c r="C373" s="326"/>
      <c r="D373" s="315"/>
      <c r="E373" s="321"/>
      <c r="F373" s="322"/>
      <c r="G373" s="366"/>
    </row>
    <row r="374" spans="1:7" s="32" customFormat="1" x14ac:dyDescent="0.25">
      <c r="A374" s="315"/>
      <c r="B374" s="315"/>
      <c r="C374" s="326"/>
      <c r="D374" s="315"/>
      <c r="E374" s="321"/>
      <c r="F374" s="322"/>
      <c r="G374" s="366"/>
    </row>
    <row r="375" spans="1:7" s="32" customFormat="1" x14ac:dyDescent="0.25">
      <c r="A375" s="315"/>
      <c r="B375" s="315"/>
      <c r="C375" s="326"/>
      <c r="D375" s="315"/>
      <c r="E375" s="321"/>
      <c r="F375" s="322"/>
      <c r="G375" s="366"/>
    </row>
    <row r="376" spans="1:7" s="32" customFormat="1" x14ac:dyDescent="0.25">
      <c r="A376" s="315"/>
      <c r="B376" s="315"/>
      <c r="C376" s="326"/>
      <c r="D376" s="315"/>
      <c r="E376" s="321"/>
      <c r="F376" s="322"/>
      <c r="G376" s="366"/>
    </row>
    <row r="377" spans="1:7" s="32" customFormat="1" x14ac:dyDescent="0.25">
      <c r="A377" s="315"/>
      <c r="B377" s="315"/>
      <c r="C377" s="326"/>
      <c r="D377" s="315"/>
      <c r="E377" s="321"/>
      <c r="F377" s="322"/>
      <c r="G377" s="366"/>
    </row>
    <row r="378" spans="1:7" s="32" customFormat="1" x14ac:dyDescent="0.25">
      <c r="A378" s="315"/>
      <c r="B378" s="315"/>
      <c r="C378" s="326"/>
      <c r="D378" s="315"/>
      <c r="E378" s="321"/>
      <c r="F378" s="322"/>
      <c r="G378" s="366"/>
    </row>
    <row r="379" spans="1:7" s="32" customFormat="1" x14ac:dyDescent="0.25">
      <c r="A379" s="315"/>
      <c r="B379" s="315"/>
      <c r="C379" s="326"/>
      <c r="D379" s="315"/>
      <c r="E379" s="321"/>
      <c r="F379" s="322"/>
      <c r="G379" s="366"/>
    </row>
    <row r="380" spans="1:7" s="32" customFormat="1" x14ac:dyDescent="0.25">
      <c r="A380" s="315"/>
      <c r="B380" s="315"/>
      <c r="C380" s="326"/>
      <c r="D380" s="315"/>
      <c r="E380" s="321"/>
      <c r="F380" s="322"/>
      <c r="G380" s="366"/>
    </row>
    <row r="381" spans="1:7" s="32" customFormat="1" x14ac:dyDescent="0.25">
      <c r="A381" s="315"/>
      <c r="B381" s="315"/>
      <c r="C381" s="326"/>
      <c r="D381" s="315"/>
      <c r="E381" s="321"/>
      <c r="F381" s="322"/>
      <c r="G381" s="366"/>
    </row>
    <row r="382" spans="1:7" s="32" customFormat="1" x14ac:dyDescent="0.25">
      <c r="A382" s="315"/>
      <c r="B382" s="315"/>
      <c r="C382" s="326"/>
      <c r="D382" s="315"/>
      <c r="E382" s="321"/>
      <c r="F382" s="322"/>
      <c r="G382" s="366"/>
    </row>
    <row r="383" spans="1:7" s="32" customFormat="1" x14ac:dyDescent="0.25">
      <c r="A383" s="315"/>
      <c r="B383" s="315"/>
      <c r="C383" s="326"/>
      <c r="D383" s="315"/>
      <c r="E383" s="321"/>
      <c r="F383" s="322"/>
      <c r="G383" s="366"/>
    </row>
    <row r="384" spans="1:7" s="32" customFormat="1" x14ac:dyDescent="0.25">
      <c r="A384" s="315"/>
      <c r="B384" s="315"/>
      <c r="C384" s="326"/>
      <c r="D384" s="315"/>
      <c r="E384" s="321"/>
      <c r="F384" s="322"/>
      <c r="G384" s="366"/>
    </row>
    <row r="385" spans="1:7" s="32" customFormat="1" x14ac:dyDescent="0.25">
      <c r="A385" s="315"/>
      <c r="B385" s="315"/>
      <c r="C385" s="326"/>
      <c r="D385" s="315"/>
      <c r="E385" s="321"/>
      <c r="F385" s="322"/>
      <c r="G385" s="366"/>
    </row>
    <row r="386" spans="1:7" s="32" customFormat="1" x14ac:dyDescent="0.25">
      <c r="A386" s="315"/>
      <c r="B386" s="315"/>
      <c r="C386" s="326"/>
      <c r="D386" s="315"/>
      <c r="E386" s="321"/>
      <c r="F386" s="322"/>
      <c r="G386" s="366"/>
    </row>
    <row r="387" spans="1:7" s="32" customFormat="1" x14ac:dyDescent="0.25">
      <c r="A387" s="315"/>
      <c r="B387" s="315"/>
      <c r="C387" s="326"/>
      <c r="D387" s="315"/>
      <c r="E387" s="321"/>
      <c r="F387" s="322"/>
      <c r="G387" s="366"/>
    </row>
    <row r="388" spans="1:7" s="32" customFormat="1" x14ac:dyDescent="0.25">
      <c r="A388" s="315"/>
      <c r="B388" s="315"/>
      <c r="C388" s="326"/>
      <c r="D388" s="315"/>
      <c r="E388" s="321"/>
      <c r="F388" s="322"/>
      <c r="G388" s="366"/>
    </row>
    <row r="389" spans="1:7" s="32" customFormat="1" x14ac:dyDescent="0.25">
      <c r="A389" s="315"/>
      <c r="B389" s="315"/>
      <c r="C389" s="326"/>
      <c r="D389" s="315"/>
      <c r="E389" s="321"/>
      <c r="F389" s="322"/>
      <c r="G389" s="366"/>
    </row>
    <row r="390" spans="1:7" s="32" customFormat="1" x14ac:dyDescent="0.25">
      <c r="A390" s="315"/>
      <c r="B390" s="315"/>
      <c r="C390" s="326"/>
      <c r="D390" s="315"/>
      <c r="E390" s="321"/>
      <c r="F390" s="322"/>
      <c r="G390" s="366"/>
    </row>
    <row r="391" spans="1:7" s="32" customFormat="1" x14ac:dyDescent="0.25">
      <c r="A391" s="315"/>
      <c r="B391" s="315"/>
      <c r="C391" s="326"/>
      <c r="D391" s="315"/>
      <c r="E391" s="321"/>
      <c r="F391" s="322"/>
      <c r="G391" s="366"/>
    </row>
    <row r="392" spans="1:7" s="32" customFormat="1" x14ac:dyDescent="0.25">
      <c r="A392" s="315"/>
      <c r="B392" s="315"/>
      <c r="C392" s="326"/>
      <c r="D392" s="315"/>
      <c r="E392" s="321"/>
      <c r="F392" s="322"/>
      <c r="G392" s="366"/>
    </row>
    <row r="393" spans="1:7" s="32" customFormat="1" x14ac:dyDescent="0.25">
      <c r="A393" s="315"/>
      <c r="B393" s="315"/>
      <c r="C393" s="326"/>
      <c r="D393" s="315"/>
      <c r="E393" s="321"/>
      <c r="F393" s="322"/>
      <c r="G393" s="366"/>
    </row>
    <row r="394" spans="1:7" s="32" customFormat="1" x14ac:dyDescent="0.25">
      <c r="A394" s="315"/>
      <c r="B394" s="315"/>
      <c r="C394" s="326"/>
      <c r="D394" s="315"/>
      <c r="E394" s="321"/>
      <c r="F394" s="322"/>
      <c r="G394" s="366"/>
    </row>
    <row r="395" spans="1:7" s="32" customFormat="1" x14ac:dyDescent="0.25">
      <c r="A395" s="315"/>
      <c r="B395" s="315"/>
      <c r="C395" s="326"/>
      <c r="D395" s="315"/>
      <c r="E395" s="321"/>
      <c r="F395" s="322"/>
      <c r="G395" s="366"/>
    </row>
    <row r="396" spans="1:7" s="32" customFormat="1" x14ac:dyDescent="0.25">
      <c r="A396" s="315"/>
      <c r="B396" s="315"/>
      <c r="C396" s="326"/>
      <c r="D396" s="315"/>
      <c r="E396" s="321"/>
      <c r="F396" s="322"/>
      <c r="G396" s="366"/>
    </row>
    <row r="397" spans="1:7" s="32" customFormat="1" x14ac:dyDescent="0.25">
      <c r="A397" s="315"/>
      <c r="B397" s="315"/>
      <c r="C397" s="326"/>
      <c r="D397" s="315"/>
      <c r="E397" s="321"/>
      <c r="F397" s="322"/>
      <c r="G397" s="366"/>
    </row>
    <row r="398" spans="1:7" s="32" customFormat="1" x14ac:dyDescent="0.25">
      <c r="A398" s="315"/>
      <c r="B398" s="315"/>
      <c r="C398" s="326"/>
      <c r="D398" s="315"/>
      <c r="E398" s="321"/>
      <c r="F398" s="322"/>
      <c r="G398" s="366"/>
    </row>
    <row r="399" spans="1:7" s="32" customFormat="1" x14ac:dyDescent="0.25">
      <c r="A399" s="315"/>
      <c r="B399" s="315"/>
      <c r="C399" s="326"/>
      <c r="D399" s="315"/>
      <c r="E399" s="321"/>
      <c r="F399" s="322"/>
      <c r="G399" s="366"/>
    </row>
    <row r="400" spans="1:7" s="32" customFormat="1" x14ac:dyDescent="0.25">
      <c r="A400" s="315"/>
      <c r="B400" s="315"/>
      <c r="C400" s="326"/>
      <c r="D400" s="315"/>
      <c r="E400" s="321"/>
      <c r="F400" s="322"/>
      <c r="G400" s="366"/>
    </row>
    <row r="401" spans="1:7" s="32" customFormat="1" x14ac:dyDescent="0.25">
      <c r="A401" s="315"/>
      <c r="B401" s="315"/>
      <c r="C401" s="326"/>
      <c r="D401" s="315"/>
      <c r="E401" s="321"/>
      <c r="F401" s="322"/>
      <c r="G401" s="366"/>
    </row>
    <row r="402" spans="1:7" s="32" customFormat="1" x14ac:dyDescent="0.25">
      <c r="A402" s="315"/>
      <c r="B402" s="315"/>
      <c r="C402" s="326"/>
      <c r="D402" s="315"/>
      <c r="E402" s="321"/>
      <c r="F402" s="322"/>
      <c r="G402" s="366"/>
    </row>
    <row r="403" spans="1:7" s="32" customFormat="1" x14ac:dyDescent="0.25">
      <c r="A403" s="315"/>
      <c r="B403" s="315"/>
      <c r="C403" s="326"/>
      <c r="D403" s="315"/>
      <c r="E403" s="321"/>
      <c r="F403" s="322"/>
      <c r="G403" s="366"/>
    </row>
    <row r="404" spans="1:7" s="32" customFormat="1" x14ac:dyDescent="0.25">
      <c r="A404" s="315"/>
      <c r="B404" s="315"/>
      <c r="C404" s="326"/>
      <c r="D404" s="315"/>
      <c r="E404" s="321"/>
      <c r="F404" s="322"/>
      <c r="G404" s="366"/>
    </row>
    <row r="405" spans="1:7" s="32" customFormat="1" x14ac:dyDescent="0.25">
      <c r="A405" s="315"/>
      <c r="B405" s="315"/>
      <c r="C405" s="326"/>
      <c r="D405" s="315"/>
      <c r="E405" s="321"/>
      <c r="F405" s="322"/>
      <c r="G405" s="366"/>
    </row>
    <row r="406" spans="1:7" s="32" customFormat="1" x14ac:dyDescent="0.25">
      <c r="A406" s="315"/>
      <c r="B406" s="315"/>
      <c r="C406" s="326"/>
      <c r="D406" s="315"/>
      <c r="E406" s="321"/>
      <c r="F406" s="322"/>
      <c r="G406" s="366"/>
    </row>
    <row r="407" spans="1:7" s="32" customFormat="1" x14ac:dyDescent="0.25">
      <c r="A407" s="315"/>
      <c r="B407" s="315"/>
      <c r="C407" s="326"/>
      <c r="D407" s="315"/>
      <c r="E407" s="321"/>
      <c r="F407" s="322"/>
      <c r="G407" s="366"/>
    </row>
    <row r="408" spans="1:7" s="32" customFormat="1" x14ac:dyDescent="0.25">
      <c r="A408" s="315"/>
      <c r="B408" s="315"/>
      <c r="C408" s="326"/>
      <c r="D408" s="315"/>
      <c r="E408" s="321"/>
      <c r="F408" s="322"/>
      <c r="G408" s="366"/>
    </row>
    <row r="409" spans="1:7" s="32" customFormat="1" x14ac:dyDescent="0.25">
      <c r="A409" s="315"/>
      <c r="B409" s="315"/>
      <c r="C409" s="326"/>
      <c r="D409" s="315"/>
      <c r="E409" s="321"/>
      <c r="F409" s="322"/>
      <c r="G409" s="366"/>
    </row>
    <row r="410" spans="1:7" s="32" customFormat="1" x14ac:dyDescent="0.25">
      <c r="A410" s="315"/>
      <c r="B410" s="315"/>
      <c r="C410" s="326"/>
      <c r="D410" s="315"/>
      <c r="E410" s="321"/>
      <c r="F410" s="322"/>
      <c r="G410" s="366"/>
    </row>
    <row r="411" spans="1:7" s="32" customFormat="1" x14ac:dyDescent="0.25">
      <c r="A411" s="315"/>
      <c r="B411" s="315"/>
      <c r="C411" s="326"/>
      <c r="D411" s="315"/>
      <c r="E411" s="321"/>
      <c r="F411" s="322"/>
      <c r="G411" s="366"/>
    </row>
    <row r="412" spans="1:7" s="32" customFormat="1" x14ac:dyDescent="0.25">
      <c r="A412" s="315"/>
      <c r="B412" s="315"/>
      <c r="C412" s="326"/>
      <c r="D412" s="315"/>
      <c r="E412" s="321"/>
      <c r="F412" s="322"/>
      <c r="G412" s="366"/>
    </row>
    <row r="413" spans="1:7" s="32" customFormat="1" x14ac:dyDescent="0.25">
      <c r="A413" s="315"/>
      <c r="B413" s="315"/>
      <c r="C413" s="326"/>
      <c r="D413" s="315"/>
      <c r="E413" s="321"/>
      <c r="F413" s="322"/>
      <c r="G413" s="366"/>
    </row>
    <row r="414" spans="1:7" s="32" customFormat="1" x14ac:dyDescent="0.25">
      <c r="A414" s="315"/>
      <c r="B414" s="315"/>
      <c r="C414" s="326"/>
      <c r="D414" s="315"/>
      <c r="E414" s="321"/>
      <c r="F414" s="322"/>
      <c r="G414" s="366"/>
    </row>
    <row r="415" spans="1:7" s="32" customFormat="1" x14ac:dyDescent="0.25">
      <c r="A415" s="315"/>
      <c r="B415" s="315"/>
      <c r="C415" s="326"/>
      <c r="D415" s="315"/>
      <c r="E415" s="321"/>
      <c r="F415" s="322"/>
      <c r="G415" s="366"/>
    </row>
    <row r="416" spans="1:7" s="32" customFormat="1" x14ac:dyDescent="0.25">
      <c r="A416" s="315"/>
      <c r="B416" s="315"/>
      <c r="C416" s="326"/>
      <c r="D416" s="315"/>
      <c r="E416" s="321"/>
      <c r="F416" s="322"/>
      <c r="G416" s="366"/>
    </row>
    <row r="417" spans="1:7" s="32" customFormat="1" x14ac:dyDescent="0.25">
      <c r="A417" s="315"/>
      <c r="B417" s="315"/>
      <c r="C417" s="326"/>
      <c r="D417" s="315"/>
      <c r="E417" s="321"/>
      <c r="F417" s="322"/>
      <c r="G417" s="366"/>
    </row>
    <row r="418" spans="1:7" s="32" customFormat="1" x14ac:dyDescent="0.25">
      <c r="A418" s="315"/>
      <c r="B418" s="315"/>
      <c r="C418" s="326"/>
      <c r="D418" s="315"/>
      <c r="E418" s="321"/>
      <c r="F418" s="322"/>
      <c r="G418" s="366"/>
    </row>
    <row r="419" spans="1:7" s="32" customFormat="1" x14ac:dyDescent="0.25">
      <c r="A419" s="315"/>
      <c r="B419" s="315"/>
      <c r="C419" s="326"/>
      <c r="D419" s="315"/>
      <c r="E419" s="321"/>
      <c r="F419" s="322"/>
      <c r="G419" s="366"/>
    </row>
    <row r="420" spans="1:7" s="32" customFormat="1" x14ac:dyDescent="0.25">
      <c r="A420" s="315"/>
      <c r="B420" s="315"/>
      <c r="C420" s="326"/>
      <c r="D420" s="315"/>
      <c r="E420" s="321"/>
      <c r="F420" s="322"/>
      <c r="G420" s="366"/>
    </row>
    <row r="421" spans="1:7" s="32" customFormat="1" x14ac:dyDescent="0.25">
      <c r="A421" s="315"/>
      <c r="B421" s="315"/>
      <c r="C421" s="326"/>
      <c r="D421" s="315"/>
      <c r="E421" s="321"/>
      <c r="F421" s="322"/>
      <c r="G421" s="366"/>
    </row>
    <row r="422" spans="1:7" s="32" customFormat="1" x14ac:dyDescent="0.25">
      <c r="A422" s="315"/>
      <c r="B422" s="315"/>
      <c r="C422" s="326"/>
      <c r="D422" s="315"/>
      <c r="E422" s="321"/>
      <c r="F422" s="322"/>
      <c r="G422" s="366"/>
    </row>
    <row r="423" spans="1:7" s="32" customFormat="1" x14ac:dyDescent="0.25">
      <c r="A423" s="315"/>
      <c r="B423" s="315"/>
      <c r="C423" s="326"/>
      <c r="D423" s="315"/>
      <c r="E423" s="321"/>
      <c r="F423" s="322"/>
      <c r="G423" s="366"/>
    </row>
    <row r="424" spans="1:7" s="32" customFormat="1" x14ac:dyDescent="0.25">
      <c r="A424" s="315"/>
      <c r="B424" s="315"/>
      <c r="C424" s="326"/>
      <c r="D424" s="315"/>
      <c r="E424" s="321"/>
      <c r="F424" s="322"/>
      <c r="G424" s="366"/>
    </row>
    <row r="425" spans="1:7" s="32" customFormat="1" x14ac:dyDescent="0.25">
      <c r="A425" s="315"/>
      <c r="B425" s="315"/>
      <c r="C425" s="326"/>
      <c r="D425" s="315"/>
      <c r="E425" s="321"/>
      <c r="F425" s="322"/>
      <c r="G425" s="366"/>
    </row>
    <row r="426" spans="1:7" s="32" customFormat="1" x14ac:dyDescent="0.25">
      <c r="A426" s="315"/>
      <c r="B426" s="315"/>
      <c r="C426" s="326"/>
      <c r="D426" s="315"/>
      <c r="E426" s="321"/>
      <c r="F426" s="322"/>
      <c r="G426" s="366"/>
    </row>
    <row r="427" spans="1:7" s="32" customFormat="1" x14ac:dyDescent="0.25">
      <c r="A427" s="315"/>
      <c r="B427" s="315"/>
      <c r="C427" s="326"/>
      <c r="D427" s="315"/>
      <c r="E427" s="321"/>
      <c r="F427" s="322"/>
      <c r="G427" s="366"/>
    </row>
    <row r="428" spans="1:7" s="32" customFormat="1" x14ac:dyDescent="0.25">
      <c r="A428" s="315"/>
      <c r="B428" s="315"/>
      <c r="C428" s="326"/>
      <c r="D428" s="315"/>
      <c r="E428" s="321"/>
      <c r="F428" s="322"/>
      <c r="G428" s="366"/>
    </row>
    <row r="429" spans="1:7" s="32" customFormat="1" x14ac:dyDescent="0.25">
      <c r="A429" s="315"/>
      <c r="B429" s="315"/>
      <c r="C429" s="326"/>
      <c r="D429" s="315"/>
      <c r="E429" s="321"/>
      <c r="F429" s="322"/>
      <c r="G429" s="366"/>
    </row>
    <row r="430" spans="1:7" s="32" customFormat="1" x14ac:dyDescent="0.25">
      <c r="A430" s="315"/>
      <c r="B430" s="315"/>
      <c r="C430" s="326"/>
      <c r="D430" s="315"/>
      <c r="E430" s="321"/>
      <c r="F430" s="322"/>
      <c r="G430" s="366"/>
    </row>
    <row r="431" spans="1:7" s="32" customFormat="1" x14ac:dyDescent="0.25">
      <c r="A431" s="315"/>
      <c r="B431" s="315"/>
      <c r="C431" s="326"/>
      <c r="D431" s="315"/>
      <c r="E431" s="321"/>
      <c r="F431" s="322"/>
      <c r="G431" s="366"/>
    </row>
    <row r="432" spans="1:7" s="32" customFormat="1" x14ac:dyDescent="0.25">
      <c r="A432" s="315"/>
      <c r="B432" s="315"/>
      <c r="C432" s="326"/>
      <c r="D432" s="315"/>
      <c r="E432" s="321"/>
      <c r="F432" s="322"/>
      <c r="G432" s="366"/>
    </row>
    <row r="433" spans="1:7" s="32" customFormat="1" x14ac:dyDescent="0.25">
      <c r="A433" s="315"/>
      <c r="B433" s="315"/>
      <c r="C433" s="326"/>
      <c r="D433" s="315"/>
      <c r="E433" s="321"/>
      <c r="F433" s="322"/>
      <c r="G433" s="366"/>
    </row>
    <row r="434" spans="1:7" s="32" customFormat="1" x14ac:dyDescent="0.25">
      <c r="A434" s="315"/>
      <c r="B434" s="315"/>
      <c r="C434" s="326"/>
      <c r="D434" s="315"/>
      <c r="E434" s="321"/>
      <c r="F434" s="322"/>
      <c r="G434" s="366"/>
    </row>
    <row r="435" spans="1:7" s="32" customFormat="1" x14ac:dyDescent="0.25">
      <c r="A435" s="315"/>
      <c r="B435" s="315"/>
      <c r="C435" s="326"/>
      <c r="D435" s="315"/>
      <c r="E435" s="321"/>
      <c r="F435" s="322"/>
      <c r="G435" s="366"/>
    </row>
    <row r="436" spans="1:7" s="32" customFormat="1" x14ac:dyDescent="0.25">
      <c r="A436" s="315"/>
      <c r="B436" s="315"/>
      <c r="C436" s="326"/>
      <c r="D436" s="315"/>
      <c r="E436" s="321"/>
      <c r="F436" s="322"/>
      <c r="G436" s="366"/>
    </row>
    <row r="437" spans="1:7" s="32" customFormat="1" x14ac:dyDescent="0.25">
      <c r="A437" s="315"/>
      <c r="B437" s="315"/>
      <c r="C437" s="326"/>
      <c r="D437" s="315"/>
      <c r="E437" s="321"/>
      <c r="F437" s="322"/>
      <c r="G437" s="366"/>
    </row>
    <row r="438" spans="1:7" s="32" customFormat="1" x14ac:dyDescent="0.25">
      <c r="A438" s="315"/>
      <c r="B438" s="315"/>
      <c r="C438" s="326"/>
      <c r="D438" s="315"/>
      <c r="E438" s="321"/>
      <c r="F438" s="322"/>
      <c r="G438" s="366"/>
    </row>
    <row r="439" spans="1:7" s="32" customFormat="1" x14ac:dyDescent="0.25">
      <c r="A439" s="315"/>
      <c r="B439" s="315"/>
      <c r="C439" s="326"/>
      <c r="D439" s="315"/>
      <c r="E439" s="321"/>
      <c r="F439" s="322"/>
      <c r="G439" s="366"/>
    </row>
    <row r="440" spans="1:7" s="32" customFormat="1" x14ac:dyDescent="0.25">
      <c r="A440" s="315"/>
      <c r="B440" s="315"/>
      <c r="C440" s="326"/>
      <c r="D440" s="315"/>
      <c r="E440" s="321"/>
      <c r="F440" s="322"/>
      <c r="G440" s="366"/>
    </row>
    <row r="441" spans="1:7" s="32" customFormat="1" x14ac:dyDescent="0.25">
      <c r="A441" s="315"/>
      <c r="B441" s="315"/>
      <c r="C441" s="326"/>
      <c r="D441" s="315"/>
      <c r="E441" s="321"/>
      <c r="F441" s="322"/>
      <c r="G441" s="366"/>
    </row>
    <row r="442" spans="1:7" s="32" customFormat="1" x14ac:dyDescent="0.25">
      <c r="A442" s="315"/>
      <c r="B442" s="315"/>
      <c r="C442" s="326"/>
      <c r="D442" s="315"/>
      <c r="E442" s="321"/>
      <c r="F442" s="322"/>
      <c r="G442" s="366"/>
    </row>
    <row r="443" spans="1:7" s="32" customFormat="1" x14ac:dyDescent="0.25">
      <c r="A443" s="315"/>
      <c r="B443" s="315"/>
      <c r="C443" s="326"/>
      <c r="D443" s="315"/>
      <c r="E443" s="321"/>
      <c r="F443" s="322"/>
      <c r="G443" s="366"/>
    </row>
    <row r="444" spans="1:7" s="32" customFormat="1" x14ac:dyDescent="0.25">
      <c r="A444" s="315"/>
      <c r="B444" s="315"/>
      <c r="C444" s="326"/>
      <c r="D444" s="315"/>
      <c r="E444" s="321"/>
      <c r="F444" s="322"/>
      <c r="G444" s="366"/>
    </row>
    <row r="445" spans="1:7" s="32" customFormat="1" x14ac:dyDescent="0.25">
      <c r="A445" s="315"/>
      <c r="B445" s="315"/>
      <c r="C445" s="326"/>
      <c r="D445" s="315"/>
      <c r="E445" s="321"/>
      <c r="F445" s="322"/>
      <c r="G445" s="366"/>
    </row>
    <row r="446" spans="1:7" s="32" customFormat="1" x14ac:dyDescent="0.25">
      <c r="A446" s="315"/>
      <c r="B446" s="315"/>
      <c r="C446" s="326"/>
      <c r="D446" s="315"/>
      <c r="E446" s="321"/>
      <c r="F446" s="322"/>
      <c r="G446" s="366"/>
    </row>
    <row r="447" spans="1:7" s="32" customFormat="1" x14ac:dyDescent="0.25">
      <c r="A447" s="315"/>
      <c r="B447" s="315"/>
      <c r="C447" s="326"/>
      <c r="D447" s="315"/>
      <c r="E447" s="321"/>
      <c r="F447" s="322"/>
      <c r="G447" s="366"/>
    </row>
    <row r="448" spans="1:7" s="32" customFormat="1" x14ac:dyDescent="0.25">
      <c r="A448" s="315"/>
      <c r="B448" s="315"/>
      <c r="C448" s="326"/>
      <c r="D448" s="315"/>
      <c r="E448" s="321"/>
      <c r="F448" s="322"/>
      <c r="G448" s="366"/>
    </row>
    <row r="449" spans="1:7" s="32" customFormat="1" x14ac:dyDescent="0.25">
      <c r="A449" s="315"/>
      <c r="B449" s="315"/>
      <c r="C449" s="326"/>
      <c r="D449" s="315"/>
      <c r="E449" s="321"/>
      <c r="F449" s="322"/>
      <c r="G449" s="366"/>
    </row>
    <row r="450" spans="1:7" s="32" customFormat="1" x14ac:dyDescent="0.25">
      <c r="A450" s="315"/>
      <c r="B450" s="315"/>
      <c r="C450" s="326"/>
      <c r="D450" s="315"/>
      <c r="E450" s="321"/>
      <c r="F450" s="322"/>
      <c r="G450" s="366"/>
    </row>
    <row r="451" spans="1:7" s="32" customFormat="1" x14ac:dyDescent="0.25">
      <c r="A451" s="315"/>
      <c r="B451" s="315"/>
      <c r="C451" s="326"/>
      <c r="D451" s="315"/>
      <c r="E451" s="321"/>
      <c r="F451" s="322"/>
      <c r="G451" s="366"/>
    </row>
    <row r="452" spans="1:7" s="32" customFormat="1" x14ac:dyDescent="0.25">
      <c r="A452" s="315"/>
      <c r="B452" s="315"/>
      <c r="C452" s="326"/>
      <c r="D452" s="315"/>
      <c r="E452" s="321"/>
      <c r="F452" s="322"/>
      <c r="G452" s="366"/>
    </row>
    <row r="453" spans="1:7" s="32" customFormat="1" x14ac:dyDescent="0.25">
      <c r="A453" s="315"/>
      <c r="B453" s="315"/>
      <c r="C453" s="326"/>
      <c r="D453" s="315"/>
      <c r="E453" s="321"/>
      <c r="F453" s="322"/>
      <c r="G453" s="366"/>
    </row>
    <row r="454" spans="1:7" s="32" customFormat="1" x14ac:dyDescent="0.25">
      <c r="A454" s="315"/>
      <c r="B454" s="315"/>
      <c r="C454" s="326"/>
      <c r="D454" s="315"/>
      <c r="E454" s="321"/>
      <c r="F454" s="322"/>
      <c r="G454" s="366"/>
    </row>
    <row r="455" spans="1:7" s="32" customFormat="1" x14ac:dyDescent="0.25">
      <c r="A455" s="315"/>
      <c r="B455" s="315"/>
      <c r="C455" s="326"/>
      <c r="D455" s="315"/>
      <c r="E455" s="321"/>
      <c r="F455" s="322"/>
      <c r="G455" s="366"/>
    </row>
    <row r="456" spans="1:7" s="32" customFormat="1" x14ac:dyDescent="0.25">
      <c r="A456" s="315"/>
      <c r="B456" s="315"/>
      <c r="C456" s="326"/>
      <c r="D456" s="315"/>
      <c r="E456" s="321"/>
      <c r="F456" s="322"/>
      <c r="G456" s="366"/>
    </row>
    <row r="457" spans="1:7" s="32" customFormat="1" x14ac:dyDescent="0.25">
      <c r="A457" s="315"/>
      <c r="B457" s="315"/>
      <c r="C457" s="326"/>
      <c r="D457" s="315"/>
      <c r="E457" s="321"/>
      <c r="F457" s="322"/>
      <c r="G457" s="366"/>
    </row>
    <row r="458" spans="1:7" s="32" customFormat="1" x14ac:dyDescent="0.25">
      <c r="A458" s="315"/>
      <c r="B458" s="315"/>
      <c r="C458" s="326"/>
      <c r="D458" s="315"/>
      <c r="E458" s="321"/>
      <c r="F458" s="322"/>
      <c r="G458" s="366"/>
    </row>
    <row r="459" spans="1:7" s="32" customFormat="1" x14ac:dyDescent="0.25">
      <c r="A459" s="315"/>
      <c r="B459" s="315"/>
      <c r="C459" s="326"/>
      <c r="D459" s="315"/>
      <c r="E459" s="321"/>
      <c r="F459" s="322"/>
      <c r="G459" s="366"/>
    </row>
    <row r="460" spans="1:7" s="32" customFormat="1" x14ac:dyDescent="0.25">
      <c r="A460" s="315"/>
      <c r="B460" s="315"/>
      <c r="C460" s="326"/>
      <c r="D460" s="315"/>
      <c r="E460" s="321"/>
      <c r="F460" s="322"/>
      <c r="G460" s="366"/>
    </row>
    <row r="461" spans="1:7" s="32" customFormat="1" x14ac:dyDescent="0.25">
      <c r="A461" s="315"/>
      <c r="B461" s="315"/>
      <c r="C461" s="326"/>
      <c r="D461" s="315"/>
      <c r="E461" s="321"/>
      <c r="F461" s="322"/>
      <c r="G461" s="366"/>
    </row>
    <row r="462" spans="1:7" s="32" customFormat="1" x14ac:dyDescent="0.25">
      <c r="A462" s="315"/>
      <c r="B462" s="315"/>
      <c r="C462" s="326"/>
      <c r="D462" s="315"/>
      <c r="E462" s="321"/>
      <c r="F462" s="322"/>
      <c r="G462" s="366"/>
    </row>
    <row r="463" spans="1:7" s="32" customFormat="1" x14ac:dyDescent="0.25">
      <c r="A463" s="315"/>
      <c r="B463" s="315"/>
      <c r="C463" s="326"/>
      <c r="D463" s="315"/>
      <c r="E463" s="321"/>
      <c r="F463" s="322"/>
      <c r="G463" s="366"/>
    </row>
    <row r="464" spans="1:7" s="32" customFormat="1" x14ac:dyDescent="0.25">
      <c r="A464" s="315"/>
      <c r="B464" s="315"/>
      <c r="C464" s="326"/>
      <c r="D464" s="315"/>
      <c r="E464" s="321"/>
      <c r="F464" s="322"/>
      <c r="G464" s="366"/>
    </row>
    <row r="465" spans="1:7" s="32" customFormat="1" x14ac:dyDescent="0.25">
      <c r="A465" s="315"/>
      <c r="B465" s="315"/>
      <c r="C465" s="326"/>
      <c r="D465" s="315"/>
      <c r="E465" s="321"/>
      <c r="F465" s="322"/>
      <c r="G465" s="366"/>
    </row>
    <row r="466" spans="1:7" s="32" customFormat="1" x14ac:dyDescent="0.25">
      <c r="A466" s="315"/>
      <c r="B466" s="315"/>
      <c r="C466" s="326"/>
      <c r="D466" s="315"/>
      <c r="E466" s="321"/>
      <c r="F466" s="322"/>
      <c r="G466" s="366"/>
    </row>
    <row r="467" spans="1:7" s="32" customFormat="1" x14ac:dyDescent="0.25">
      <c r="A467" s="315"/>
      <c r="B467" s="315"/>
      <c r="C467" s="326"/>
      <c r="D467" s="315"/>
      <c r="E467" s="321"/>
      <c r="F467" s="322"/>
      <c r="G467" s="366"/>
    </row>
    <row r="468" spans="1:7" s="32" customFormat="1" x14ac:dyDescent="0.25">
      <c r="A468" s="315"/>
      <c r="B468" s="315"/>
      <c r="C468" s="326"/>
      <c r="D468" s="315"/>
      <c r="E468" s="321"/>
      <c r="F468" s="322"/>
      <c r="G468" s="366"/>
    </row>
    <row r="469" spans="1:7" s="32" customFormat="1" x14ac:dyDescent="0.25">
      <c r="A469" s="315"/>
      <c r="B469" s="315"/>
      <c r="C469" s="326"/>
      <c r="D469" s="315"/>
      <c r="E469" s="321"/>
      <c r="F469" s="322"/>
      <c r="G469" s="366"/>
    </row>
    <row r="470" spans="1:7" s="32" customFormat="1" x14ac:dyDescent="0.25">
      <c r="A470" s="315"/>
      <c r="B470" s="315"/>
      <c r="C470" s="326"/>
      <c r="D470" s="315"/>
      <c r="E470" s="321"/>
      <c r="F470" s="322"/>
      <c r="G470" s="366"/>
    </row>
    <row r="471" spans="1:7" s="32" customFormat="1" x14ac:dyDescent="0.25">
      <c r="A471" s="315"/>
      <c r="B471" s="315"/>
      <c r="C471" s="326"/>
      <c r="D471" s="315"/>
      <c r="E471" s="321"/>
      <c r="F471" s="322"/>
      <c r="G471" s="366"/>
    </row>
    <row r="472" spans="1:7" s="32" customFormat="1" x14ac:dyDescent="0.25">
      <c r="A472" s="315"/>
      <c r="B472" s="315"/>
      <c r="C472" s="326"/>
      <c r="D472" s="315"/>
      <c r="E472" s="321"/>
      <c r="F472" s="322"/>
      <c r="G472" s="366"/>
    </row>
    <row r="473" spans="1:7" s="32" customFormat="1" x14ac:dyDescent="0.25">
      <c r="A473" s="315"/>
      <c r="B473" s="315"/>
      <c r="C473" s="326"/>
      <c r="D473" s="315"/>
      <c r="E473" s="321"/>
      <c r="F473" s="322"/>
      <c r="G473" s="366"/>
    </row>
    <row r="474" spans="1:7" s="32" customFormat="1" x14ac:dyDescent="0.25">
      <c r="A474" s="315"/>
      <c r="B474" s="315"/>
      <c r="C474" s="326"/>
      <c r="D474" s="315"/>
      <c r="E474" s="321"/>
      <c r="F474" s="322"/>
      <c r="G474" s="366"/>
    </row>
    <row r="475" spans="1:7" s="32" customFormat="1" x14ac:dyDescent="0.25">
      <c r="A475" s="315"/>
      <c r="B475" s="315"/>
      <c r="C475" s="326"/>
      <c r="D475" s="315"/>
      <c r="E475" s="321"/>
      <c r="F475" s="322"/>
      <c r="G475" s="366"/>
    </row>
    <row r="476" spans="1:7" s="32" customFormat="1" x14ac:dyDescent="0.25">
      <c r="A476" s="315"/>
      <c r="B476" s="315"/>
      <c r="C476" s="326"/>
      <c r="D476" s="315"/>
      <c r="E476" s="321"/>
      <c r="F476" s="322"/>
      <c r="G476" s="366"/>
    </row>
    <row r="477" spans="1:7" s="32" customFormat="1" x14ac:dyDescent="0.25">
      <c r="A477" s="315"/>
      <c r="B477" s="315"/>
      <c r="C477" s="326"/>
      <c r="D477" s="315"/>
      <c r="E477" s="321"/>
      <c r="F477" s="322"/>
      <c r="G477" s="366"/>
    </row>
    <row r="478" spans="1:7" s="32" customFormat="1" x14ac:dyDescent="0.25">
      <c r="A478" s="315"/>
      <c r="B478" s="315"/>
      <c r="C478" s="326"/>
      <c r="D478" s="315"/>
      <c r="E478" s="321"/>
      <c r="F478" s="322"/>
      <c r="G478" s="366"/>
    </row>
    <row r="479" spans="1:7" s="32" customFormat="1" x14ac:dyDescent="0.25">
      <c r="A479" s="315"/>
      <c r="B479" s="315"/>
      <c r="C479" s="326"/>
      <c r="D479" s="315"/>
      <c r="E479" s="321"/>
      <c r="F479" s="322"/>
      <c r="G479" s="366"/>
    </row>
    <row r="480" spans="1:7" s="32" customFormat="1" x14ac:dyDescent="0.25">
      <c r="A480" s="315"/>
      <c r="B480" s="315"/>
      <c r="C480" s="326"/>
      <c r="D480" s="315"/>
      <c r="E480" s="321"/>
      <c r="F480" s="322"/>
      <c r="G480" s="366"/>
    </row>
    <row r="481" spans="1:7" s="32" customFormat="1" x14ac:dyDescent="0.25">
      <c r="A481" s="315"/>
      <c r="B481" s="315"/>
      <c r="C481" s="326"/>
      <c r="D481" s="315"/>
      <c r="E481" s="321"/>
      <c r="F481" s="322"/>
      <c r="G481" s="366"/>
    </row>
    <row r="482" spans="1:7" s="32" customFormat="1" x14ac:dyDescent="0.25">
      <c r="A482" s="315"/>
      <c r="B482" s="315"/>
      <c r="C482" s="326"/>
      <c r="D482" s="315"/>
      <c r="E482" s="321"/>
      <c r="F482" s="322"/>
      <c r="G482" s="366"/>
    </row>
    <row r="483" spans="1:7" s="32" customFormat="1" x14ac:dyDescent="0.25">
      <c r="A483" s="315"/>
      <c r="B483" s="315"/>
      <c r="C483" s="326"/>
      <c r="D483" s="315"/>
      <c r="E483" s="321"/>
      <c r="F483" s="322"/>
      <c r="G483" s="366"/>
    </row>
    <row r="484" spans="1:7" s="32" customFormat="1" x14ac:dyDescent="0.25">
      <c r="A484" s="315"/>
      <c r="B484" s="315"/>
      <c r="C484" s="326"/>
      <c r="D484" s="315"/>
      <c r="E484" s="321"/>
      <c r="F484" s="322"/>
      <c r="G484" s="366"/>
    </row>
    <row r="485" spans="1:7" s="32" customFormat="1" x14ac:dyDescent="0.25">
      <c r="A485" s="315"/>
      <c r="B485" s="315"/>
      <c r="C485" s="326"/>
      <c r="D485" s="315"/>
      <c r="E485" s="321"/>
      <c r="F485" s="322"/>
      <c r="G485" s="366"/>
    </row>
    <row r="486" spans="1:7" s="32" customFormat="1" x14ac:dyDescent="0.25">
      <c r="A486" s="315"/>
      <c r="B486" s="315"/>
      <c r="C486" s="326"/>
      <c r="D486" s="315"/>
      <c r="E486" s="321"/>
      <c r="F486" s="322"/>
      <c r="G486" s="366"/>
    </row>
    <row r="487" spans="1:7" s="32" customFormat="1" x14ac:dyDescent="0.25">
      <c r="A487" s="315"/>
      <c r="B487" s="315"/>
      <c r="C487" s="326"/>
      <c r="D487" s="315"/>
      <c r="E487" s="321"/>
      <c r="F487" s="322"/>
      <c r="G487" s="366"/>
    </row>
    <row r="488" spans="1:7" s="32" customFormat="1" x14ac:dyDescent="0.25">
      <c r="A488" s="315"/>
      <c r="B488" s="315"/>
      <c r="C488" s="326"/>
      <c r="D488" s="315"/>
      <c r="E488" s="321"/>
      <c r="F488" s="322"/>
      <c r="G488" s="366"/>
    </row>
    <row r="489" spans="1:7" s="32" customFormat="1" x14ac:dyDescent="0.25">
      <c r="A489" s="315"/>
      <c r="B489" s="315"/>
      <c r="C489" s="326"/>
      <c r="D489" s="315"/>
      <c r="E489" s="321"/>
      <c r="F489" s="322"/>
      <c r="G489" s="366"/>
    </row>
    <row r="490" spans="1:7" s="32" customFormat="1" x14ac:dyDescent="0.25">
      <c r="A490" s="315"/>
      <c r="B490" s="315"/>
      <c r="C490" s="326"/>
      <c r="D490" s="315"/>
      <c r="E490" s="321"/>
      <c r="F490" s="322"/>
      <c r="G490" s="366"/>
    </row>
    <row r="491" spans="1:7" s="32" customFormat="1" x14ac:dyDescent="0.25">
      <c r="A491" s="315"/>
      <c r="B491" s="315"/>
      <c r="C491" s="326"/>
      <c r="D491" s="315"/>
      <c r="E491" s="321"/>
      <c r="F491" s="322"/>
      <c r="G491" s="366"/>
    </row>
    <row r="492" spans="1:7" s="32" customFormat="1" x14ac:dyDescent="0.25">
      <c r="A492" s="315"/>
      <c r="B492" s="315"/>
      <c r="C492" s="326"/>
      <c r="D492" s="315"/>
      <c r="E492" s="321"/>
      <c r="F492" s="322"/>
      <c r="G492" s="366"/>
    </row>
    <row r="493" spans="1:7" s="32" customFormat="1" x14ac:dyDescent="0.25">
      <c r="A493" s="315"/>
      <c r="B493" s="315"/>
      <c r="C493" s="326"/>
      <c r="D493" s="315"/>
      <c r="E493" s="321"/>
      <c r="F493" s="322"/>
      <c r="G493" s="366"/>
    </row>
    <row r="494" spans="1:7" s="32" customFormat="1" x14ac:dyDescent="0.25">
      <c r="A494" s="315"/>
      <c r="B494" s="315"/>
      <c r="C494" s="326"/>
      <c r="D494" s="315"/>
      <c r="E494" s="321"/>
      <c r="F494" s="322"/>
      <c r="G494" s="366"/>
    </row>
    <row r="495" spans="1:7" s="32" customFormat="1" x14ac:dyDescent="0.25">
      <c r="A495" s="315"/>
      <c r="B495" s="315"/>
      <c r="C495" s="326"/>
      <c r="D495" s="315"/>
      <c r="E495" s="321"/>
      <c r="F495" s="322"/>
      <c r="G495" s="366"/>
    </row>
    <row r="496" spans="1:7" s="32" customFormat="1" x14ac:dyDescent="0.25">
      <c r="A496" s="315"/>
      <c r="B496" s="315"/>
      <c r="C496" s="326"/>
      <c r="D496" s="315"/>
      <c r="E496" s="321"/>
      <c r="F496" s="322"/>
      <c r="G496" s="366"/>
    </row>
    <row r="497" spans="1:7" s="32" customFormat="1" x14ac:dyDescent="0.25">
      <c r="A497" s="315"/>
      <c r="B497" s="315"/>
      <c r="C497" s="326"/>
      <c r="D497" s="315"/>
      <c r="E497" s="321"/>
      <c r="F497" s="322"/>
      <c r="G497" s="366"/>
    </row>
    <row r="498" spans="1:7" s="32" customFormat="1" x14ac:dyDescent="0.25">
      <c r="A498" s="315"/>
      <c r="B498" s="315"/>
      <c r="C498" s="326"/>
      <c r="D498" s="315"/>
      <c r="E498" s="321"/>
      <c r="F498" s="322"/>
      <c r="G498" s="366"/>
    </row>
    <row r="499" spans="1:7" s="32" customFormat="1" x14ac:dyDescent="0.25">
      <c r="A499" s="315"/>
      <c r="B499" s="315"/>
      <c r="C499" s="326"/>
      <c r="D499" s="315"/>
      <c r="E499" s="321"/>
      <c r="F499" s="322"/>
      <c r="G499" s="366"/>
    </row>
    <row r="500" spans="1:7" s="32" customFormat="1" x14ac:dyDescent="0.25">
      <c r="A500" s="315"/>
      <c r="B500" s="315"/>
      <c r="C500" s="326"/>
      <c r="D500" s="315"/>
      <c r="E500" s="321"/>
      <c r="F500" s="322"/>
      <c r="G500" s="366"/>
    </row>
    <row r="501" spans="1:7" s="32" customFormat="1" x14ac:dyDescent="0.25">
      <c r="A501" s="315"/>
      <c r="B501" s="315"/>
      <c r="C501" s="326"/>
      <c r="D501" s="315"/>
      <c r="E501" s="321"/>
      <c r="F501" s="322"/>
      <c r="G501" s="366"/>
    </row>
    <row r="502" spans="1:7" s="32" customFormat="1" x14ac:dyDescent="0.25">
      <c r="A502" s="315"/>
      <c r="B502" s="315"/>
      <c r="C502" s="326"/>
      <c r="D502" s="315"/>
      <c r="E502" s="321"/>
      <c r="F502" s="322"/>
      <c r="G502" s="366"/>
    </row>
    <row r="503" spans="1:7" s="32" customFormat="1" x14ac:dyDescent="0.25">
      <c r="A503" s="315"/>
      <c r="B503" s="315"/>
      <c r="C503" s="326"/>
      <c r="D503" s="315"/>
      <c r="E503" s="321"/>
      <c r="F503" s="322"/>
      <c r="G503" s="366"/>
    </row>
    <row r="504" spans="1:7" s="32" customFormat="1" x14ac:dyDescent="0.25">
      <c r="A504" s="315"/>
      <c r="B504" s="315"/>
      <c r="C504" s="326"/>
      <c r="D504" s="315"/>
      <c r="E504" s="321"/>
      <c r="F504" s="322"/>
      <c r="G504" s="366"/>
    </row>
    <row r="505" spans="1:7" s="32" customFormat="1" x14ac:dyDescent="0.25">
      <c r="A505" s="315"/>
      <c r="B505" s="315"/>
      <c r="C505" s="326"/>
      <c r="D505" s="315"/>
      <c r="E505" s="321"/>
      <c r="F505" s="322"/>
      <c r="G505" s="366"/>
    </row>
    <row r="506" spans="1:7" s="32" customFormat="1" x14ac:dyDescent="0.25">
      <c r="A506" s="315"/>
      <c r="B506" s="315"/>
      <c r="C506" s="326"/>
      <c r="D506" s="315"/>
      <c r="E506" s="321"/>
      <c r="F506" s="322"/>
      <c r="G506" s="366"/>
    </row>
    <row r="507" spans="1:7" s="32" customFormat="1" x14ac:dyDescent="0.25">
      <c r="A507" s="315"/>
      <c r="B507" s="315"/>
      <c r="C507" s="326"/>
      <c r="D507" s="315"/>
      <c r="E507" s="321"/>
      <c r="F507" s="322"/>
      <c r="G507" s="366"/>
    </row>
    <row r="508" spans="1:7" s="32" customFormat="1" x14ac:dyDescent="0.25">
      <c r="A508" s="315"/>
      <c r="B508" s="315"/>
      <c r="C508" s="326"/>
      <c r="D508" s="315"/>
      <c r="E508" s="321"/>
      <c r="F508" s="322"/>
      <c r="G508" s="366"/>
    </row>
    <row r="509" spans="1:7" s="32" customFormat="1" x14ac:dyDescent="0.25">
      <c r="A509" s="315"/>
      <c r="B509" s="315"/>
      <c r="C509" s="326"/>
      <c r="D509" s="315"/>
      <c r="E509" s="321"/>
      <c r="F509" s="322"/>
      <c r="G509" s="366"/>
    </row>
    <row r="510" spans="1:7" s="32" customFormat="1" x14ac:dyDescent="0.25">
      <c r="A510" s="315"/>
      <c r="B510" s="315"/>
      <c r="C510" s="326"/>
      <c r="D510" s="315"/>
      <c r="E510" s="321"/>
      <c r="F510" s="322"/>
      <c r="G510" s="366"/>
    </row>
    <row r="511" spans="1:7" s="32" customFormat="1" x14ac:dyDescent="0.25">
      <c r="A511" s="315"/>
      <c r="B511" s="315"/>
      <c r="C511" s="326"/>
      <c r="D511" s="315"/>
      <c r="E511" s="321"/>
      <c r="F511" s="322"/>
      <c r="G511" s="366"/>
    </row>
    <row r="512" spans="1:7" s="32" customFormat="1" x14ac:dyDescent="0.25">
      <c r="A512" s="315"/>
      <c r="B512" s="315"/>
      <c r="C512" s="326"/>
      <c r="D512" s="315"/>
      <c r="E512" s="321"/>
      <c r="F512" s="322"/>
      <c r="G512" s="366"/>
    </row>
    <row r="513" spans="1:7" s="32" customFormat="1" x14ac:dyDescent="0.25">
      <c r="A513" s="315"/>
      <c r="B513" s="315"/>
      <c r="C513" s="326"/>
      <c r="D513" s="315"/>
      <c r="E513" s="321"/>
      <c r="F513" s="322"/>
      <c r="G513" s="366"/>
    </row>
    <row r="514" spans="1:7" s="32" customFormat="1" x14ac:dyDescent="0.25">
      <c r="A514" s="315"/>
      <c r="B514" s="315"/>
      <c r="C514" s="326"/>
      <c r="D514" s="315"/>
      <c r="E514" s="321"/>
      <c r="F514" s="322"/>
      <c r="G514" s="366"/>
    </row>
    <row r="515" spans="1:7" s="32" customFormat="1" x14ac:dyDescent="0.25">
      <c r="A515" s="315"/>
      <c r="B515" s="315"/>
      <c r="C515" s="326"/>
      <c r="D515" s="315"/>
      <c r="E515" s="321"/>
      <c r="F515" s="322"/>
      <c r="G515" s="366"/>
    </row>
    <row r="516" spans="1:7" s="32" customFormat="1" x14ac:dyDescent="0.25">
      <c r="A516" s="315"/>
      <c r="B516" s="315"/>
      <c r="C516" s="326"/>
      <c r="D516" s="315"/>
      <c r="E516" s="321"/>
      <c r="F516" s="322"/>
      <c r="G516" s="366"/>
    </row>
    <row r="517" spans="1:7" s="32" customFormat="1" x14ac:dyDescent="0.25">
      <c r="A517" s="315"/>
      <c r="B517" s="315"/>
      <c r="C517" s="326"/>
      <c r="D517" s="315"/>
      <c r="E517" s="321"/>
      <c r="F517" s="322"/>
      <c r="G517" s="366"/>
    </row>
    <row r="518" spans="1:7" s="32" customFormat="1" x14ac:dyDescent="0.25">
      <c r="A518" s="315"/>
      <c r="B518" s="315"/>
      <c r="C518" s="326"/>
      <c r="D518" s="315"/>
      <c r="E518" s="321"/>
      <c r="F518" s="322"/>
      <c r="G518" s="366"/>
    </row>
    <row r="519" spans="1:7" s="32" customFormat="1" x14ac:dyDescent="0.25">
      <c r="A519" s="315"/>
      <c r="B519" s="315"/>
      <c r="C519" s="326"/>
      <c r="D519" s="315"/>
      <c r="E519" s="321"/>
      <c r="F519" s="322"/>
      <c r="G519" s="366"/>
    </row>
    <row r="520" spans="1:7" s="32" customFormat="1" x14ac:dyDescent="0.25">
      <c r="A520" s="315"/>
      <c r="B520" s="315"/>
      <c r="C520" s="326"/>
      <c r="D520" s="315"/>
      <c r="E520" s="321"/>
      <c r="F520" s="322"/>
      <c r="G520" s="366"/>
    </row>
    <row r="521" spans="1:7" s="32" customFormat="1" x14ac:dyDescent="0.25">
      <c r="A521" s="315"/>
      <c r="B521" s="315"/>
      <c r="C521" s="326"/>
      <c r="D521" s="315"/>
      <c r="E521" s="321"/>
      <c r="F521" s="322"/>
      <c r="G521" s="366"/>
    </row>
    <row r="522" spans="1:7" s="32" customFormat="1" x14ac:dyDescent="0.25">
      <c r="A522" s="315"/>
      <c r="B522" s="315"/>
      <c r="C522" s="326"/>
      <c r="D522" s="315"/>
      <c r="E522" s="321"/>
      <c r="F522" s="322"/>
      <c r="G522" s="366"/>
    </row>
    <row r="523" spans="1:7" s="32" customFormat="1" x14ac:dyDescent="0.25">
      <c r="A523" s="315"/>
      <c r="B523" s="315"/>
      <c r="C523" s="326"/>
      <c r="D523" s="315"/>
      <c r="E523" s="321"/>
      <c r="F523" s="322"/>
      <c r="G523" s="366"/>
    </row>
    <row r="524" spans="1:7" s="32" customFormat="1" x14ac:dyDescent="0.25">
      <c r="A524" s="315"/>
      <c r="B524" s="315"/>
      <c r="C524" s="326"/>
      <c r="D524" s="315"/>
      <c r="E524" s="321"/>
      <c r="F524" s="322"/>
      <c r="G524" s="366"/>
    </row>
    <row r="525" spans="1:7" s="32" customFormat="1" x14ac:dyDescent="0.25">
      <c r="A525" s="315"/>
      <c r="B525" s="315"/>
      <c r="C525" s="326"/>
      <c r="D525" s="315"/>
      <c r="E525" s="321"/>
      <c r="F525" s="322"/>
      <c r="G525" s="366"/>
    </row>
    <row r="526" spans="1:7" s="32" customFormat="1" x14ac:dyDescent="0.25">
      <c r="A526" s="315"/>
      <c r="B526" s="315"/>
      <c r="C526" s="326"/>
      <c r="D526" s="315"/>
      <c r="E526" s="321"/>
      <c r="F526" s="322"/>
      <c r="G526" s="366"/>
    </row>
    <row r="527" spans="1:7" s="32" customFormat="1" x14ac:dyDescent="0.25">
      <c r="A527" s="315"/>
      <c r="B527" s="315"/>
      <c r="C527" s="326"/>
      <c r="D527" s="315"/>
      <c r="E527" s="321"/>
      <c r="F527" s="322"/>
      <c r="G527" s="366"/>
    </row>
    <row r="528" spans="1:7" s="32" customFormat="1" x14ac:dyDescent="0.25">
      <c r="A528" s="315"/>
      <c r="B528" s="315"/>
      <c r="C528" s="326"/>
      <c r="D528" s="315"/>
      <c r="E528" s="321"/>
      <c r="F528" s="322"/>
      <c r="G528" s="366"/>
    </row>
    <row r="529" spans="1:7" s="32" customFormat="1" x14ac:dyDescent="0.25">
      <c r="A529" s="315"/>
      <c r="B529" s="315"/>
      <c r="C529" s="326"/>
      <c r="D529" s="315"/>
      <c r="E529" s="321"/>
      <c r="F529" s="322"/>
      <c r="G529" s="366"/>
    </row>
    <row r="530" spans="1:7" s="32" customFormat="1" x14ac:dyDescent="0.25">
      <c r="A530" s="315"/>
      <c r="B530" s="315"/>
      <c r="C530" s="326"/>
      <c r="D530" s="315"/>
      <c r="E530" s="321"/>
      <c r="F530" s="322"/>
      <c r="G530" s="366"/>
    </row>
    <row r="531" spans="1:7" s="32" customFormat="1" x14ac:dyDescent="0.25">
      <c r="A531" s="315"/>
      <c r="B531" s="315"/>
      <c r="C531" s="326"/>
      <c r="D531" s="315"/>
      <c r="E531" s="321"/>
      <c r="F531" s="322"/>
      <c r="G531" s="366"/>
    </row>
    <row r="532" spans="1:7" s="32" customFormat="1" x14ac:dyDescent="0.25">
      <c r="A532" s="315"/>
      <c r="B532" s="315"/>
      <c r="C532" s="326"/>
      <c r="D532" s="315"/>
      <c r="E532" s="321"/>
      <c r="F532" s="322"/>
      <c r="G532" s="366"/>
    </row>
    <row r="533" spans="1:7" s="32" customFormat="1" x14ac:dyDescent="0.25">
      <c r="A533" s="315"/>
      <c r="B533" s="315"/>
      <c r="C533" s="326"/>
      <c r="D533" s="315"/>
      <c r="E533" s="321"/>
      <c r="F533" s="322"/>
      <c r="G533" s="366"/>
    </row>
    <row r="534" spans="1:7" s="32" customFormat="1" x14ac:dyDescent="0.25">
      <c r="A534" s="315"/>
      <c r="B534" s="315"/>
      <c r="C534" s="326"/>
      <c r="D534" s="315"/>
      <c r="E534" s="321"/>
      <c r="F534" s="322"/>
      <c r="G534" s="366"/>
    </row>
    <row r="535" spans="1:7" s="32" customFormat="1" x14ac:dyDescent="0.25">
      <c r="A535" s="315"/>
      <c r="B535" s="315"/>
      <c r="C535" s="326"/>
      <c r="D535" s="315"/>
      <c r="E535" s="321"/>
      <c r="F535" s="322"/>
      <c r="G535" s="366"/>
    </row>
    <row r="536" spans="1:7" s="32" customFormat="1" x14ac:dyDescent="0.25">
      <c r="A536" s="315"/>
      <c r="B536" s="315"/>
      <c r="C536" s="326"/>
      <c r="D536" s="315"/>
      <c r="E536" s="321"/>
      <c r="F536" s="322"/>
      <c r="G536" s="366"/>
    </row>
    <row r="537" spans="1:7" s="32" customFormat="1" x14ac:dyDescent="0.25">
      <c r="A537" s="315"/>
      <c r="B537" s="315"/>
      <c r="C537" s="326"/>
      <c r="D537" s="315"/>
      <c r="E537" s="321"/>
      <c r="F537" s="322"/>
      <c r="G537" s="366"/>
    </row>
    <row r="538" spans="1:7" s="32" customFormat="1" x14ac:dyDescent="0.25">
      <c r="A538" s="315"/>
      <c r="B538" s="315"/>
      <c r="C538" s="326"/>
      <c r="D538" s="315"/>
      <c r="E538" s="321"/>
      <c r="F538" s="322"/>
      <c r="G538" s="366"/>
    </row>
    <row r="539" spans="1:7" s="32" customFormat="1" x14ac:dyDescent="0.25">
      <c r="A539" s="315"/>
      <c r="B539" s="315"/>
      <c r="C539" s="326"/>
      <c r="D539" s="315"/>
      <c r="E539" s="321"/>
      <c r="F539" s="322"/>
      <c r="G539" s="366"/>
    </row>
    <row r="540" spans="1:7" s="32" customFormat="1" x14ac:dyDescent="0.25">
      <c r="A540" s="315"/>
      <c r="B540" s="315"/>
      <c r="C540" s="326"/>
      <c r="D540" s="315"/>
      <c r="E540" s="321"/>
      <c r="F540" s="322"/>
      <c r="G540" s="366"/>
    </row>
    <row r="541" spans="1:7" s="32" customFormat="1" x14ac:dyDescent="0.25">
      <c r="A541" s="315"/>
      <c r="B541" s="315"/>
      <c r="C541" s="326"/>
      <c r="D541" s="315"/>
      <c r="E541" s="321"/>
      <c r="F541" s="322"/>
      <c r="G541" s="366"/>
    </row>
    <row r="542" spans="1:7" s="32" customFormat="1" x14ac:dyDescent="0.25">
      <c r="A542" s="315"/>
      <c r="B542" s="315"/>
      <c r="C542" s="326"/>
      <c r="D542" s="315"/>
      <c r="E542" s="321"/>
      <c r="F542" s="322"/>
      <c r="G542" s="366"/>
    </row>
    <row r="543" spans="1:7" s="32" customFormat="1" x14ac:dyDescent="0.25">
      <c r="A543" s="315"/>
      <c r="B543" s="315"/>
      <c r="C543" s="326"/>
      <c r="D543" s="315"/>
      <c r="E543" s="321"/>
      <c r="F543" s="322"/>
      <c r="G543" s="366"/>
    </row>
    <row r="544" spans="1:7" s="32" customFormat="1" x14ac:dyDescent="0.25">
      <c r="A544" s="315"/>
      <c r="B544" s="315"/>
      <c r="C544" s="326"/>
      <c r="D544" s="315"/>
      <c r="E544" s="321"/>
      <c r="F544" s="322"/>
      <c r="G544" s="366"/>
    </row>
    <row r="545" spans="1:7" s="32" customFormat="1" x14ac:dyDescent="0.25">
      <c r="A545" s="315"/>
      <c r="B545" s="315"/>
      <c r="C545" s="326"/>
      <c r="D545" s="315"/>
      <c r="E545" s="321"/>
      <c r="F545" s="322"/>
      <c r="G545" s="366"/>
    </row>
    <row r="546" spans="1:7" s="32" customFormat="1" x14ac:dyDescent="0.25">
      <c r="A546" s="315"/>
      <c r="B546" s="315"/>
      <c r="C546" s="326"/>
      <c r="D546" s="315"/>
      <c r="E546" s="321"/>
      <c r="F546" s="322"/>
      <c r="G546" s="366"/>
    </row>
    <row r="547" spans="1:7" s="32" customFormat="1" x14ac:dyDescent="0.25">
      <c r="A547" s="315"/>
      <c r="B547" s="315"/>
      <c r="C547" s="326"/>
      <c r="D547" s="315"/>
      <c r="E547" s="321"/>
      <c r="F547" s="322"/>
      <c r="G547" s="366"/>
    </row>
    <row r="548" spans="1:7" s="32" customFormat="1" x14ac:dyDescent="0.25">
      <c r="A548" s="315"/>
      <c r="B548" s="315"/>
      <c r="C548" s="326"/>
      <c r="D548" s="315"/>
      <c r="E548" s="321"/>
      <c r="F548" s="322"/>
      <c r="G548" s="366"/>
    </row>
    <row r="549" spans="1:7" s="32" customFormat="1" x14ac:dyDescent="0.25">
      <c r="A549" s="315"/>
      <c r="B549" s="315"/>
      <c r="C549" s="326"/>
      <c r="D549" s="315"/>
      <c r="E549" s="321"/>
      <c r="F549" s="322"/>
      <c r="G549" s="366"/>
    </row>
    <row r="550" spans="1:7" s="32" customFormat="1" x14ac:dyDescent="0.25">
      <c r="A550" s="315"/>
      <c r="B550" s="315"/>
      <c r="C550" s="326"/>
      <c r="D550" s="315"/>
      <c r="E550" s="321"/>
      <c r="F550" s="322"/>
      <c r="G550" s="366"/>
    </row>
    <row r="551" spans="1:7" s="32" customFormat="1" x14ac:dyDescent="0.25">
      <c r="A551" s="315"/>
      <c r="B551" s="315"/>
      <c r="C551" s="326"/>
      <c r="D551" s="315"/>
      <c r="E551" s="321"/>
      <c r="F551" s="322"/>
      <c r="G551" s="366"/>
    </row>
    <row r="552" spans="1:7" s="32" customFormat="1" x14ac:dyDescent="0.25">
      <c r="A552" s="315"/>
      <c r="B552" s="315"/>
      <c r="C552" s="326"/>
      <c r="D552" s="315"/>
      <c r="E552" s="321"/>
      <c r="F552" s="322"/>
      <c r="G552" s="366"/>
    </row>
    <row r="553" spans="1:7" s="32" customFormat="1" x14ac:dyDescent="0.25">
      <c r="A553" s="315"/>
      <c r="B553" s="315"/>
      <c r="C553" s="326"/>
      <c r="D553" s="315"/>
      <c r="E553" s="321"/>
      <c r="F553" s="322"/>
      <c r="G553" s="366"/>
    </row>
    <row r="554" spans="1:7" s="32" customFormat="1" x14ac:dyDescent="0.25">
      <c r="A554" s="315"/>
      <c r="B554" s="315"/>
      <c r="C554" s="326"/>
      <c r="D554" s="315"/>
      <c r="E554" s="321"/>
      <c r="F554" s="322"/>
      <c r="G554" s="366"/>
    </row>
    <row r="555" spans="1:7" s="32" customFormat="1" x14ac:dyDescent="0.25">
      <c r="A555" s="315"/>
      <c r="B555" s="315"/>
      <c r="C555" s="326"/>
      <c r="D555" s="315"/>
      <c r="E555" s="321"/>
      <c r="F555" s="322"/>
      <c r="G555" s="366"/>
    </row>
    <row r="556" spans="1:7" s="32" customFormat="1" x14ac:dyDescent="0.25">
      <c r="A556" s="315"/>
      <c r="B556" s="315"/>
      <c r="C556" s="326"/>
      <c r="D556" s="315"/>
      <c r="E556" s="321"/>
      <c r="F556" s="322"/>
      <c r="G556" s="366"/>
    </row>
    <row r="557" spans="1:7" s="32" customFormat="1" x14ac:dyDescent="0.25">
      <c r="A557" s="315"/>
      <c r="B557" s="315"/>
      <c r="C557" s="326"/>
      <c r="D557" s="315"/>
      <c r="E557" s="321"/>
      <c r="F557" s="322"/>
      <c r="G557" s="366"/>
    </row>
    <row r="558" spans="1:7" s="32" customFormat="1" x14ac:dyDescent="0.25">
      <c r="A558" s="315"/>
      <c r="B558" s="315"/>
      <c r="C558" s="326"/>
      <c r="D558" s="315"/>
      <c r="E558" s="321"/>
      <c r="F558" s="322"/>
      <c r="G558" s="366"/>
    </row>
    <row r="559" spans="1:7" s="32" customFormat="1" x14ac:dyDescent="0.25">
      <c r="A559" s="315"/>
      <c r="B559" s="315"/>
      <c r="C559" s="326"/>
      <c r="D559" s="315"/>
      <c r="E559" s="321"/>
      <c r="F559" s="322"/>
      <c r="G559" s="366"/>
    </row>
    <row r="560" spans="1:7" s="32" customFormat="1" x14ac:dyDescent="0.25">
      <c r="A560" s="315"/>
      <c r="B560" s="315"/>
      <c r="C560" s="326"/>
      <c r="D560" s="315"/>
      <c r="E560" s="321"/>
      <c r="F560" s="322"/>
      <c r="G560" s="366"/>
    </row>
    <row r="561" spans="1:7" s="32" customFormat="1" x14ac:dyDescent="0.25">
      <c r="A561" s="315"/>
      <c r="B561" s="315"/>
      <c r="C561" s="326"/>
      <c r="D561" s="315"/>
      <c r="E561" s="321"/>
      <c r="F561" s="322"/>
      <c r="G561" s="366"/>
    </row>
    <row r="562" spans="1:7" s="32" customFormat="1" x14ac:dyDescent="0.25">
      <c r="A562" s="315"/>
      <c r="B562" s="315"/>
      <c r="C562" s="326"/>
      <c r="D562" s="315"/>
      <c r="E562" s="321"/>
      <c r="F562" s="322"/>
      <c r="G562" s="366"/>
    </row>
    <row r="563" spans="1:7" s="32" customFormat="1" x14ac:dyDescent="0.25">
      <c r="A563" s="315"/>
      <c r="B563" s="315"/>
      <c r="C563" s="326"/>
      <c r="D563" s="315"/>
      <c r="E563" s="321"/>
      <c r="F563" s="322"/>
      <c r="G563" s="366"/>
    </row>
    <row r="564" spans="1:7" s="32" customFormat="1" x14ac:dyDescent="0.25">
      <c r="A564" s="315"/>
      <c r="B564" s="315"/>
      <c r="C564" s="326"/>
      <c r="D564" s="315"/>
      <c r="E564" s="321"/>
      <c r="F564" s="322"/>
      <c r="G564" s="366"/>
    </row>
    <row r="565" spans="1:7" s="32" customFormat="1" x14ac:dyDescent="0.25">
      <c r="A565" s="315"/>
      <c r="B565" s="315"/>
      <c r="C565" s="326"/>
      <c r="D565" s="315"/>
      <c r="E565" s="321"/>
      <c r="F565" s="322"/>
      <c r="G565" s="366"/>
    </row>
    <row r="566" spans="1:7" s="32" customFormat="1" x14ac:dyDescent="0.25">
      <c r="A566" s="315"/>
      <c r="B566" s="315"/>
      <c r="C566" s="326"/>
      <c r="D566" s="315"/>
      <c r="E566" s="321"/>
      <c r="F566" s="322"/>
      <c r="G566" s="366"/>
    </row>
    <row r="567" spans="1:7" s="32" customFormat="1" x14ac:dyDescent="0.25">
      <c r="A567" s="315"/>
      <c r="B567" s="315"/>
      <c r="C567" s="326"/>
      <c r="D567" s="315"/>
      <c r="E567" s="321"/>
      <c r="F567" s="322"/>
      <c r="G567" s="366"/>
    </row>
    <row r="568" spans="1:7" s="32" customFormat="1" x14ac:dyDescent="0.25">
      <c r="A568" s="315"/>
      <c r="B568" s="315"/>
      <c r="C568" s="326"/>
      <c r="D568" s="315"/>
      <c r="E568" s="321"/>
      <c r="F568" s="322"/>
      <c r="G568" s="366"/>
    </row>
    <row r="569" spans="1:7" s="32" customFormat="1" x14ac:dyDescent="0.25">
      <c r="A569" s="315"/>
      <c r="B569" s="315"/>
      <c r="C569" s="326"/>
      <c r="D569" s="315"/>
      <c r="E569" s="321"/>
      <c r="F569" s="322"/>
      <c r="G569" s="366"/>
    </row>
    <row r="570" spans="1:7" s="32" customFormat="1" x14ac:dyDescent="0.25">
      <c r="A570" s="315"/>
      <c r="B570" s="315"/>
      <c r="C570" s="326"/>
      <c r="D570" s="315"/>
      <c r="E570" s="321"/>
      <c r="F570" s="322"/>
      <c r="G570" s="366"/>
    </row>
    <row r="571" spans="1:7" s="32" customFormat="1" x14ac:dyDescent="0.25">
      <c r="A571" s="315"/>
      <c r="B571" s="315"/>
      <c r="C571" s="326"/>
      <c r="D571" s="315"/>
      <c r="E571" s="321"/>
      <c r="F571" s="322"/>
      <c r="G571" s="366"/>
    </row>
    <row r="572" spans="1:7" s="32" customFormat="1" x14ac:dyDescent="0.25">
      <c r="A572" s="315"/>
      <c r="B572" s="315"/>
      <c r="C572" s="326"/>
      <c r="D572" s="315"/>
      <c r="E572" s="321"/>
      <c r="F572" s="322"/>
      <c r="G572" s="366"/>
    </row>
    <row r="573" spans="1:7" s="32" customFormat="1" x14ac:dyDescent="0.25">
      <c r="A573" s="315"/>
      <c r="B573" s="315"/>
      <c r="C573" s="326"/>
      <c r="D573" s="315"/>
      <c r="E573" s="321"/>
      <c r="F573" s="322"/>
      <c r="G573" s="366"/>
    </row>
    <row r="574" spans="1:7" s="32" customFormat="1" x14ac:dyDescent="0.25">
      <c r="A574" s="315"/>
      <c r="B574" s="315"/>
      <c r="C574" s="326"/>
      <c r="D574" s="315"/>
      <c r="E574" s="321"/>
      <c r="F574" s="322"/>
      <c r="G574" s="366"/>
    </row>
    <row r="575" spans="1:7" s="32" customFormat="1" x14ac:dyDescent="0.25">
      <c r="A575" s="315"/>
      <c r="B575" s="315"/>
      <c r="C575" s="326"/>
      <c r="D575" s="315"/>
      <c r="E575" s="321"/>
      <c r="F575" s="322"/>
      <c r="G575" s="366"/>
    </row>
    <row r="576" spans="1:7" s="32" customFormat="1" x14ac:dyDescent="0.25">
      <c r="A576" s="315"/>
      <c r="B576" s="315"/>
      <c r="C576" s="326"/>
      <c r="D576" s="315"/>
      <c r="E576" s="321"/>
      <c r="F576" s="322"/>
      <c r="G576" s="366"/>
    </row>
    <row r="577" spans="1:7" s="32" customFormat="1" x14ac:dyDescent="0.25">
      <c r="A577" s="315"/>
      <c r="B577" s="315"/>
      <c r="C577" s="326"/>
      <c r="D577" s="315"/>
      <c r="E577" s="321"/>
      <c r="F577" s="322"/>
      <c r="G577" s="366"/>
    </row>
    <row r="578" spans="1:7" s="32" customFormat="1" x14ac:dyDescent="0.25">
      <c r="A578" s="315"/>
      <c r="B578" s="315"/>
      <c r="C578" s="326"/>
      <c r="D578" s="315"/>
      <c r="E578" s="321"/>
      <c r="F578" s="322"/>
      <c r="G578" s="366"/>
    </row>
    <row r="579" spans="1:7" s="32" customFormat="1" x14ac:dyDescent="0.25">
      <c r="A579" s="315"/>
      <c r="B579" s="315"/>
      <c r="C579" s="326"/>
      <c r="D579" s="315"/>
      <c r="E579" s="321"/>
      <c r="F579" s="322"/>
      <c r="G579" s="366"/>
    </row>
    <row r="580" spans="1:7" s="32" customFormat="1" x14ac:dyDescent="0.25">
      <c r="A580" s="315"/>
      <c r="B580" s="315"/>
      <c r="C580" s="326"/>
      <c r="D580" s="315"/>
      <c r="E580" s="321"/>
      <c r="F580" s="322"/>
      <c r="G580" s="366"/>
    </row>
    <row r="581" spans="1:7" s="32" customFormat="1" x14ac:dyDescent="0.25">
      <c r="A581" s="315"/>
      <c r="B581" s="315"/>
      <c r="C581" s="326"/>
      <c r="D581" s="315"/>
      <c r="E581" s="321"/>
      <c r="F581" s="322"/>
      <c r="G581" s="366"/>
    </row>
    <row r="582" spans="1:7" s="32" customFormat="1" x14ac:dyDescent="0.25">
      <c r="A582" s="315"/>
      <c r="B582" s="315"/>
      <c r="C582" s="326"/>
      <c r="D582" s="315"/>
      <c r="E582" s="321"/>
      <c r="F582" s="322"/>
      <c r="G582" s="366"/>
    </row>
    <row r="583" spans="1:7" s="32" customFormat="1" x14ac:dyDescent="0.25">
      <c r="A583" s="315"/>
      <c r="B583" s="315"/>
      <c r="C583" s="326"/>
      <c r="D583" s="315"/>
      <c r="E583" s="321"/>
      <c r="F583" s="322"/>
      <c r="G583" s="366"/>
    </row>
    <row r="584" spans="1:7" s="32" customFormat="1" x14ac:dyDescent="0.25">
      <c r="A584" s="315"/>
      <c r="B584" s="315"/>
      <c r="C584" s="326"/>
      <c r="D584" s="315"/>
      <c r="E584" s="321"/>
      <c r="F584" s="322"/>
      <c r="G584" s="366"/>
    </row>
    <row r="585" spans="1:7" s="32" customFormat="1" x14ac:dyDescent="0.25">
      <c r="A585" s="315"/>
      <c r="B585" s="315"/>
      <c r="C585" s="326"/>
      <c r="D585" s="315"/>
      <c r="E585" s="321"/>
      <c r="F585" s="322"/>
      <c r="G585" s="366"/>
    </row>
    <row r="586" spans="1:7" s="32" customFormat="1" x14ac:dyDescent="0.25">
      <c r="A586" s="315"/>
      <c r="B586" s="315"/>
      <c r="C586" s="326"/>
      <c r="D586" s="315"/>
      <c r="E586" s="321"/>
      <c r="F586" s="322"/>
      <c r="G586" s="366"/>
    </row>
    <row r="587" spans="1:7" s="32" customFormat="1" x14ac:dyDescent="0.25">
      <c r="A587" s="315"/>
      <c r="B587" s="315"/>
      <c r="C587" s="326"/>
      <c r="D587" s="315"/>
      <c r="E587" s="321"/>
      <c r="F587" s="322"/>
      <c r="G587" s="366"/>
    </row>
    <row r="588" spans="1:7" s="32" customFormat="1" x14ac:dyDescent="0.25">
      <c r="A588" s="315"/>
      <c r="B588" s="315"/>
      <c r="C588" s="326"/>
      <c r="D588" s="315"/>
      <c r="E588" s="321"/>
      <c r="F588" s="322"/>
      <c r="G588" s="366"/>
    </row>
    <row r="589" spans="1:7" s="32" customFormat="1" x14ac:dyDescent="0.25">
      <c r="A589" s="315"/>
      <c r="B589" s="315"/>
      <c r="C589" s="326"/>
      <c r="D589" s="315"/>
      <c r="E589" s="321"/>
      <c r="F589" s="322"/>
      <c r="G589" s="366"/>
    </row>
    <row r="590" spans="1:7" s="32" customFormat="1" x14ac:dyDescent="0.25">
      <c r="A590" s="315"/>
      <c r="B590" s="315"/>
      <c r="C590" s="326"/>
      <c r="D590" s="315"/>
      <c r="E590" s="321"/>
      <c r="F590" s="322"/>
      <c r="G590" s="366"/>
    </row>
    <row r="591" spans="1:7" s="32" customFormat="1" x14ac:dyDescent="0.25">
      <c r="A591" s="315"/>
      <c r="B591" s="315"/>
      <c r="C591" s="326"/>
      <c r="D591" s="315"/>
      <c r="E591" s="321"/>
      <c r="F591" s="322"/>
      <c r="G591" s="366"/>
    </row>
    <row r="592" spans="1:7" s="32" customFormat="1" x14ac:dyDescent="0.25">
      <c r="A592" s="315"/>
      <c r="B592" s="315"/>
      <c r="C592" s="326"/>
      <c r="D592" s="315"/>
      <c r="E592" s="321"/>
      <c r="F592" s="322"/>
      <c r="G592" s="366"/>
    </row>
    <row r="593" spans="1:7" s="32" customFormat="1" x14ac:dyDescent="0.25">
      <c r="A593" s="315"/>
      <c r="B593" s="315"/>
      <c r="C593" s="326"/>
      <c r="D593" s="315"/>
      <c r="E593" s="321"/>
      <c r="F593" s="322"/>
      <c r="G593" s="366"/>
    </row>
    <row r="594" spans="1:7" s="32" customFormat="1" x14ac:dyDescent="0.25">
      <c r="A594" s="315"/>
      <c r="B594" s="315"/>
      <c r="C594" s="326"/>
      <c r="D594" s="315"/>
      <c r="E594" s="321"/>
      <c r="F594" s="322"/>
      <c r="G594" s="366"/>
    </row>
    <row r="595" spans="1:7" s="32" customFormat="1" x14ac:dyDescent="0.25">
      <c r="A595" s="315"/>
      <c r="B595" s="315"/>
      <c r="C595" s="326"/>
      <c r="D595" s="315"/>
      <c r="E595" s="321"/>
      <c r="F595" s="322"/>
      <c r="G595" s="366"/>
    </row>
    <row r="596" spans="1:7" s="32" customFormat="1" x14ac:dyDescent="0.25">
      <c r="A596" s="315"/>
      <c r="B596" s="315"/>
      <c r="C596" s="326"/>
      <c r="D596" s="315"/>
      <c r="E596" s="321"/>
      <c r="F596" s="322"/>
      <c r="G596" s="366"/>
    </row>
    <row r="597" spans="1:7" s="32" customFormat="1" x14ac:dyDescent="0.25">
      <c r="A597" s="315"/>
      <c r="B597" s="315"/>
      <c r="C597" s="326"/>
      <c r="D597" s="315"/>
      <c r="E597" s="321"/>
      <c r="F597" s="322"/>
      <c r="G597" s="366"/>
    </row>
    <row r="598" spans="1:7" s="32" customFormat="1" x14ac:dyDescent="0.25">
      <c r="A598" s="315"/>
      <c r="B598" s="315"/>
      <c r="C598" s="326"/>
      <c r="D598" s="315"/>
      <c r="E598" s="321"/>
      <c r="F598" s="322"/>
      <c r="G598" s="366"/>
    </row>
    <row r="599" spans="1:7" s="32" customFormat="1" x14ac:dyDescent="0.25">
      <c r="A599" s="315"/>
      <c r="B599" s="315"/>
      <c r="C599" s="326"/>
      <c r="D599" s="315"/>
      <c r="E599" s="321"/>
      <c r="F599" s="322"/>
      <c r="G599" s="366"/>
    </row>
    <row r="600" spans="1:7" s="32" customFormat="1" x14ac:dyDescent="0.25">
      <c r="A600" s="315"/>
      <c r="B600" s="315"/>
      <c r="C600" s="326"/>
      <c r="D600" s="315"/>
      <c r="E600" s="321"/>
      <c r="F600" s="322"/>
      <c r="G600" s="366"/>
    </row>
    <row r="601" spans="1:7" s="32" customFormat="1" x14ac:dyDescent="0.25">
      <c r="A601" s="315"/>
      <c r="B601" s="315"/>
      <c r="C601" s="326"/>
      <c r="D601" s="315"/>
      <c r="E601" s="321"/>
      <c r="F601" s="322"/>
      <c r="G601" s="366"/>
    </row>
    <row r="602" spans="1:7" s="32" customFormat="1" x14ac:dyDescent="0.25">
      <c r="A602" s="315"/>
      <c r="B602" s="315"/>
      <c r="C602" s="326"/>
      <c r="D602" s="315"/>
      <c r="E602" s="321"/>
      <c r="F602" s="322"/>
      <c r="G602" s="366"/>
    </row>
    <row r="603" spans="1:7" s="32" customFormat="1" x14ac:dyDescent="0.25">
      <c r="A603" s="315"/>
      <c r="B603" s="315"/>
      <c r="C603" s="326"/>
      <c r="D603" s="315"/>
      <c r="E603" s="321"/>
      <c r="F603" s="322"/>
      <c r="G603" s="366"/>
    </row>
    <row r="604" spans="1:7" s="32" customFormat="1" x14ac:dyDescent="0.25">
      <c r="A604" s="315"/>
      <c r="B604" s="315"/>
      <c r="C604" s="326"/>
      <c r="D604" s="315"/>
      <c r="E604" s="321"/>
      <c r="F604" s="322"/>
      <c r="G604" s="366"/>
    </row>
    <row r="605" spans="1:7" s="32" customFormat="1" x14ac:dyDescent="0.25">
      <c r="A605" s="315"/>
      <c r="B605" s="315"/>
      <c r="C605" s="326"/>
      <c r="D605" s="315"/>
      <c r="E605" s="321"/>
      <c r="F605" s="322"/>
      <c r="G605" s="366"/>
    </row>
    <row r="606" spans="1:7" s="32" customFormat="1" x14ac:dyDescent="0.25">
      <c r="A606" s="315"/>
      <c r="B606" s="315"/>
      <c r="C606" s="326"/>
      <c r="D606" s="315"/>
      <c r="E606" s="321"/>
      <c r="F606" s="322"/>
      <c r="G606" s="366"/>
    </row>
    <row r="607" spans="1:7" s="32" customFormat="1" x14ac:dyDescent="0.25">
      <c r="A607" s="315"/>
      <c r="B607" s="315"/>
      <c r="C607" s="326"/>
      <c r="D607" s="315"/>
      <c r="E607" s="321"/>
      <c r="F607" s="322"/>
      <c r="G607" s="366"/>
    </row>
    <row r="608" spans="1:7" s="32" customFormat="1" x14ac:dyDescent="0.25">
      <c r="A608" s="315"/>
      <c r="B608" s="315"/>
      <c r="C608" s="326"/>
      <c r="D608" s="315"/>
      <c r="E608" s="321"/>
      <c r="F608" s="322"/>
      <c r="G608" s="366"/>
    </row>
    <row r="609" spans="1:7" s="32" customFormat="1" x14ac:dyDescent="0.25">
      <c r="A609" s="315"/>
      <c r="B609" s="315"/>
      <c r="C609" s="326"/>
      <c r="D609" s="315"/>
      <c r="E609" s="321"/>
      <c r="F609" s="322"/>
      <c r="G609" s="366"/>
    </row>
    <row r="610" spans="1:7" s="32" customFormat="1" x14ac:dyDescent="0.25">
      <c r="A610" s="315"/>
      <c r="B610" s="315"/>
      <c r="C610" s="326"/>
      <c r="D610" s="315"/>
      <c r="E610" s="321"/>
      <c r="F610" s="322"/>
      <c r="G610" s="366"/>
    </row>
    <row r="611" spans="1:7" s="32" customFormat="1" x14ac:dyDescent="0.25">
      <c r="A611" s="315"/>
      <c r="B611" s="315"/>
      <c r="C611" s="326"/>
      <c r="D611" s="315"/>
      <c r="E611" s="321"/>
      <c r="F611" s="322"/>
      <c r="G611" s="366"/>
    </row>
    <row r="612" spans="1:7" s="32" customFormat="1" x14ac:dyDescent="0.25">
      <c r="A612" s="315"/>
      <c r="B612" s="315"/>
      <c r="C612" s="326"/>
      <c r="D612" s="315"/>
      <c r="E612" s="321"/>
      <c r="F612" s="322"/>
      <c r="G612" s="366"/>
    </row>
    <row r="613" spans="1:7" s="32" customFormat="1" x14ac:dyDescent="0.25">
      <c r="A613" s="315"/>
      <c r="B613" s="315"/>
      <c r="C613" s="326"/>
      <c r="D613" s="315"/>
      <c r="E613" s="321"/>
      <c r="F613" s="322"/>
      <c r="G613" s="366"/>
    </row>
    <row r="614" spans="1:7" s="32" customFormat="1" x14ac:dyDescent="0.25">
      <c r="A614" s="315"/>
      <c r="B614" s="315"/>
      <c r="C614" s="326"/>
      <c r="D614" s="315"/>
      <c r="E614" s="321"/>
      <c r="F614" s="322"/>
      <c r="G614" s="366"/>
    </row>
    <row r="615" spans="1:7" s="32" customFormat="1" x14ac:dyDescent="0.25">
      <c r="A615" s="315"/>
      <c r="B615" s="315"/>
      <c r="C615" s="326"/>
      <c r="D615" s="315"/>
      <c r="E615" s="321"/>
      <c r="F615" s="322"/>
      <c r="G615" s="366"/>
    </row>
    <row r="616" spans="1:7" s="32" customFormat="1" x14ac:dyDescent="0.25">
      <c r="A616" s="315"/>
      <c r="B616" s="315"/>
      <c r="C616" s="326"/>
      <c r="D616" s="315"/>
      <c r="E616" s="321"/>
      <c r="F616" s="322"/>
      <c r="G616" s="366"/>
    </row>
    <row r="617" spans="1:7" s="32" customFormat="1" x14ac:dyDescent="0.25">
      <c r="A617" s="315"/>
      <c r="B617" s="315"/>
      <c r="C617" s="326"/>
      <c r="D617" s="315"/>
      <c r="E617" s="321"/>
      <c r="F617" s="322"/>
      <c r="G617" s="366"/>
    </row>
    <row r="618" spans="1:7" s="32" customFormat="1" x14ac:dyDescent="0.25">
      <c r="A618" s="315"/>
      <c r="B618" s="315"/>
      <c r="C618" s="326"/>
      <c r="D618" s="315"/>
      <c r="E618" s="321"/>
      <c r="F618" s="322"/>
      <c r="G618" s="366"/>
    </row>
    <row r="619" spans="1:7" s="32" customFormat="1" x14ac:dyDescent="0.25">
      <c r="A619" s="315"/>
      <c r="B619" s="315"/>
      <c r="C619" s="326"/>
      <c r="D619" s="315"/>
      <c r="E619" s="321"/>
      <c r="F619" s="322"/>
      <c r="G619" s="366"/>
    </row>
    <row r="620" spans="1:7" s="32" customFormat="1" x14ac:dyDescent="0.25">
      <c r="A620" s="315"/>
      <c r="B620" s="315"/>
      <c r="C620" s="326"/>
      <c r="D620" s="315"/>
      <c r="E620" s="321"/>
      <c r="F620" s="322"/>
      <c r="G620" s="366"/>
    </row>
    <row r="621" spans="1:7" s="32" customFormat="1" x14ac:dyDescent="0.25">
      <c r="A621" s="315"/>
      <c r="B621" s="315"/>
      <c r="C621" s="326"/>
      <c r="D621" s="315"/>
      <c r="E621" s="321"/>
      <c r="F621" s="322"/>
      <c r="G621" s="366"/>
    </row>
    <row r="622" spans="1:7" s="32" customFormat="1" x14ac:dyDescent="0.25">
      <c r="A622" s="315"/>
      <c r="B622" s="315"/>
      <c r="C622" s="326"/>
      <c r="D622" s="315"/>
      <c r="E622" s="321"/>
      <c r="F622" s="322"/>
      <c r="G622" s="366"/>
    </row>
    <row r="623" spans="1:7" s="32" customFormat="1" x14ac:dyDescent="0.25">
      <c r="A623" s="315"/>
      <c r="B623" s="315"/>
      <c r="C623" s="326"/>
      <c r="D623" s="315"/>
      <c r="E623" s="321"/>
      <c r="F623" s="322"/>
      <c r="G623" s="366"/>
    </row>
    <row r="624" spans="1:7" s="32" customFormat="1" x14ac:dyDescent="0.25">
      <c r="A624" s="315"/>
      <c r="B624" s="315"/>
      <c r="C624" s="326"/>
      <c r="D624" s="315"/>
      <c r="E624" s="321"/>
      <c r="F624" s="322"/>
      <c r="G624" s="366"/>
    </row>
    <row r="625" spans="1:7" s="32" customFormat="1" x14ac:dyDescent="0.25">
      <c r="A625" s="315"/>
      <c r="B625" s="315"/>
      <c r="C625" s="326"/>
      <c r="D625" s="315"/>
      <c r="E625" s="321"/>
      <c r="F625" s="322"/>
      <c r="G625" s="366"/>
    </row>
    <row r="626" spans="1:7" s="32" customFormat="1" x14ac:dyDescent="0.25">
      <c r="A626" s="315"/>
      <c r="B626" s="315"/>
      <c r="C626" s="326"/>
      <c r="D626" s="315"/>
      <c r="E626" s="321"/>
      <c r="F626" s="322"/>
      <c r="G626" s="366"/>
    </row>
    <row r="627" spans="1:7" s="32" customFormat="1" x14ac:dyDescent="0.25">
      <c r="A627" s="315"/>
      <c r="B627" s="315"/>
      <c r="C627" s="326"/>
      <c r="D627" s="315"/>
      <c r="E627" s="321"/>
      <c r="F627" s="322"/>
      <c r="G627" s="366"/>
    </row>
    <row r="628" spans="1:7" s="32" customFormat="1" x14ac:dyDescent="0.25">
      <c r="A628" s="315"/>
      <c r="B628" s="315"/>
      <c r="C628" s="326"/>
      <c r="D628" s="315"/>
      <c r="E628" s="321"/>
      <c r="F628" s="322"/>
      <c r="G628" s="366"/>
    </row>
    <row r="629" spans="1:7" s="32" customFormat="1" x14ac:dyDescent="0.25">
      <c r="A629" s="315"/>
      <c r="B629" s="315"/>
      <c r="C629" s="326"/>
      <c r="D629" s="315"/>
      <c r="E629" s="321"/>
      <c r="F629" s="322"/>
      <c r="G629" s="366"/>
    </row>
    <row r="630" spans="1:7" s="32" customFormat="1" x14ac:dyDescent="0.25">
      <c r="A630" s="315"/>
      <c r="B630" s="315"/>
      <c r="C630" s="326"/>
      <c r="D630" s="315"/>
      <c r="E630" s="321"/>
      <c r="F630" s="322"/>
      <c r="G630" s="366"/>
    </row>
    <row r="631" spans="1:7" s="32" customFormat="1" x14ac:dyDescent="0.25">
      <c r="A631" s="315"/>
      <c r="B631" s="315"/>
      <c r="C631" s="326"/>
      <c r="D631" s="315"/>
      <c r="E631" s="321"/>
      <c r="F631" s="322"/>
      <c r="G631" s="366"/>
    </row>
    <row r="632" spans="1:7" s="32" customFormat="1" x14ac:dyDescent="0.25">
      <c r="A632" s="315"/>
      <c r="B632" s="315"/>
      <c r="C632" s="326"/>
      <c r="D632" s="315"/>
      <c r="E632" s="321"/>
      <c r="F632" s="322"/>
      <c r="G632" s="366"/>
    </row>
    <row r="633" spans="1:7" s="32" customFormat="1" x14ac:dyDescent="0.25">
      <c r="A633" s="315"/>
      <c r="B633" s="315"/>
      <c r="C633" s="326"/>
      <c r="D633" s="315"/>
      <c r="E633" s="321"/>
      <c r="F633" s="322"/>
      <c r="G633" s="366"/>
    </row>
    <row r="634" spans="1:7" s="32" customFormat="1" x14ac:dyDescent="0.25">
      <c r="A634" s="315"/>
      <c r="B634" s="315"/>
      <c r="C634" s="326"/>
      <c r="D634" s="315"/>
      <c r="E634" s="321"/>
      <c r="F634" s="322"/>
      <c r="G634" s="366"/>
    </row>
    <row r="635" spans="1:7" s="32" customFormat="1" x14ac:dyDescent="0.25">
      <c r="A635" s="315"/>
      <c r="B635" s="315"/>
      <c r="C635" s="326"/>
      <c r="D635" s="315"/>
      <c r="E635" s="321"/>
      <c r="F635" s="322"/>
      <c r="G635" s="366"/>
    </row>
    <row r="636" spans="1:7" s="32" customFormat="1" x14ac:dyDescent="0.25">
      <c r="A636" s="315"/>
      <c r="B636" s="315"/>
      <c r="C636" s="326"/>
      <c r="D636" s="315"/>
      <c r="E636" s="321"/>
      <c r="F636" s="322"/>
      <c r="G636" s="366"/>
    </row>
    <row r="637" spans="1:7" s="32" customFormat="1" x14ac:dyDescent="0.25">
      <c r="A637" s="315"/>
      <c r="B637" s="315"/>
      <c r="C637" s="326"/>
      <c r="D637" s="315"/>
      <c r="E637" s="321"/>
      <c r="F637" s="322"/>
      <c r="G637" s="366"/>
    </row>
    <row r="638" spans="1:7" s="32" customFormat="1" x14ac:dyDescent="0.25">
      <c r="A638" s="315"/>
      <c r="B638" s="315"/>
      <c r="C638" s="326"/>
      <c r="D638" s="315"/>
      <c r="E638" s="321"/>
      <c r="F638" s="322"/>
      <c r="G638" s="366"/>
    </row>
    <row r="639" spans="1:7" s="32" customFormat="1" x14ac:dyDescent="0.25">
      <c r="A639" s="315"/>
      <c r="B639" s="315"/>
      <c r="C639" s="326"/>
      <c r="D639" s="315"/>
      <c r="E639" s="321"/>
      <c r="F639" s="322"/>
      <c r="G639" s="366"/>
    </row>
    <row r="640" spans="1:7" s="32" customFormat="1" x14ac:dyDescent="0.25">
      <c r="A640" s="315"/>
      <c r="B640" s="315"/>
      <c r="C640" s="326"/>
      <c r="D640" s="315"/>
      <c r="E640" s="321"/>
      <c r="F640" s="322"/>
      <c r="G640" s="366"/>
    </row>
    <row r="641" spans="1:7" s="32" customFormat="1" x14ac:dyDescent="0.25">
      <c r="A641" s="315"/>
      <c r="B641" s="315"/>
      <c r="C641" s="326"/>
      <c r="D641" s="315"/>
      <c r="E641" s="321"/>
      <c r="F641" s="322"/>
      <c r="G641" s="366"/>
    </row>
    <row r="642" spans="1:7" s="32" customFormat="1" x14ac:dyDescent="0.25">
      <c r="A642" s="315"/>
      <c r="B642" s="315"/>
      <c r="C642" s="326"/>
      <c r="D642" s="315"/>
      <c r="E642" s="321"/>
      <c r="F642" s="322"/>
      <c r="G642" s="366"/>
    </row>
    <row r="643" spans="1:7" s="32" customFormat="1" x14ac:dyDescent="0.25">
      <c r="A643" s="315"/>
      <c r="B643" s="315"/>
      <c r="C643" s="326"/>
      <c r="D643" s="315"/>
      <c r="E643" s="321"/>
      <c r="F643" s="322"/>
      <c r="G643" s="366"/>
    </row>
    <row r="644" spans="1:7" s="32" customFormat="1" x14ac:dyDescent="0.25">
      <c r="A644" s="315"/>
      <c r="B644" s="315"/>
      <c r="C644" s="326"/>
      <c r="D644" s="315"/>
      <c r="E644" s="321"/>
      <c r="F644" s="322"/>
      <c r="G644" s="366"/>
    </row>
    <row r="645" spans="1:7" s="32" customFormat="1" x14ac:dyDescent="0.25">
      <c r="A645" s="315"/>
      <c r="B645" s="315"/>
      <c r="C645" s="326"/>
      <c r="D645" s="315"/>
      <c r="E645" s="321"/>
      <c r="F645" s="322"/>
      <c r="G645" s="366"/>
    </row>
    <row r="646" spans="1:7" s="32" customFormat="1" x14ac:dyDescent="0.25">
      <c r="A646" s="315"/>
      <c r="B646" s="315"/>
      <c r="C646" s="326"/>
      <c r="D646" s="315"/>
      <c r="E646" s="321"/>
      <c r="F646" s="322"/>
      <c r="G646" s="366"/>
    </row>
    <row r="647" spans="1:7" s="32" customFormat="1" x14ac:dyDescent="0.25">
      <c r="A647" s="315"/>
      <c r="B647" s="315"/>
      <c r="C647" s="326"/>
      <c r="D647" s="315"/>
      <c r="E647" s="321"/>
      <c r="F647" s="322"/>
      <c r="G647" s="366"/>
    </row>
    <row r="648" spans="1:7" s="32" customFormat="1" x14ac:dyDescent="0.25">
      <c r="A648" s="315"/>
      <c r="B648" s="315"/>
      <c r="C648" s="326"/>
      <c r="D648" s="315"/>
      <c r="E648" s="321"/>
      <c r="F648" s="322"/>
      <c r="G648" s="366"/>
    </row>
    <row r="649" spans="1:7" s="32" customFormat="1" x14ac:dyDescent="0.25">
      <c r="A649" s="315"/>
      <c r="B649" s="315"/>
      <c r="C649" s="326"/>
      <c r="D649" s="315"/>
      <c r="E649" s="321"/>
      <c r="F649" s="322"/>
      <c r="G649" s="366"/>
    </row>
    <row r="650" spans="1:7" s="32" customFormat="1" x14ac:dyDescent="0.25">
      <c r="A650" s="315"/>
      <c r="B650" s="315"/>
      <c r="C650" s="326"/>
      <c r="D650" s="315"/>
      <c r="E650" s="321"/>
      <c r="F650" s="322"/>
      <c r="G650" s="366"/>
    </row>
    <row r="651" spans="1:7" s="32" customFormat="1" x14ac:dyDescent="0.25">
      <c r="A651" s="315"/>
      <c r="B651" s="315"/>
      <c r="C651" s="326"/>
      <c r="D651" s="315"/>
      <c r="E651" s="321"/>
      <c r="F651" s="322"/>
      <c r="G651" s="366"/>
    </row>
    <row r="652" spans="1:7" s="32" customFormat="1" x14ac:dyDescent="0.25">
      <c r="A652" s="315"/>
      <c r="B652" s="315"/>
      <c r="C652" s="326"/>
      <c r="D652" s="315"/>
      <c r="E652" s="321"/>
      <c r="F652" s="322"/>
      <c r="G652" s="366"/>
    </row>
    <row r="653" spans="1:7" s="32" customFormat="1" x14ac:dyDescent="0.25">
      <c r="A653" s="315"/>
      <c r="B653" s="315"/>
      <c r="C653" s="326"/>
      <c r="D653" s="315"/>
      <c r="E653" s="321"/>
      <c r="F653" s="322"/>
      <c r="G653" s="366"/>
    </row>
    <row r="654" spans="1:7" s="32" customFormat="1" x14ac:dyDescent="0.25">
      <c r="A654" s="315"/>
      <c r="B654" s="315"/>
      <c r="C654" s="326"/>
      <c r="D654" s="315"/>
      <c r="E654" s="321"/>
      <c r="F654" s="322"/>
      <c r="G654" s="366"/>
    </row>
    <row r="655" spans="1:7" s="32" customFormat="1" x14ac:dyDescent="0.25">
      <c r="A655" s="315"/>
      <c r="B655" s="315"/>
      <c r="C655" s="326"/>
      <c r="D655" s="315"/>
      <c r="E655" s="321"/>
      <c r="F655" s="322"/>
      <c r="G655" s="366"/>
    </row>
    <row r="656" spans="1:7" s="32" customFormat="1" x14ac:dyDescent="0.25">
      <c r="A656" s="315"/>
      <c r="B656" s="315"/>
      <c r="C656" s="326"/>
      <c r="D656" s="315"/>
      <c r="E656" s="321"/>
      <c r="F656" s="322"/>
      <c r="G656" s="366"/>
    </row>
    <row r="657" spans="1:7" s="32" customFormat="1" x14ac:dyDescent="0.25">
      <c r="A657" s="315"/>
      <c r="B657" s="315"/>
      <c r="C657" s="326"/>
      <c r="D657" s="315"/>
      <c r="E657" s="321"/>
      <c r="F657" s="322"/>
      <c r="G657" s="366"/>
    </row>
    <row r="658" spans="1:7" s="32" customFormat="1" x14ac:dyDescent="0.25">
      <c r="A658" s="315"/>
      <c r="B658" s="315"/>
      <c r="C658" s="326"/>
      <c r="D658" s="315"/>
      <c r="E658" s="321"/>
      <c r="F658" s="322"/>
      <c r="G658" s="366"/>
    </row>
    <row r="659" spans="1:7" s="32" customFormat="1" x14ac:dyDescent="0.25">
      <c r="A659" s="315"/>
      <c r="B659" s="315"/>
      <c r="C659" s="326"/>
      <c r="D659" s="315"/>
      <c r="E659" s="321"/>
      <c r="F659" s="322"/>
      <c r="G659" s="366"/>
    </row>
    <row r="660" spans="1:7" s="32" customFormat="1" x14ac:dyDescent="0.25">
      <c r="A660" s="315"/>
      <c r="B660" s="315"/>
      <c r="C660" s="326"/>
      <c r="D660" s="315"/>
      <c r="E660" s="321"/>
      <c r="F660" s="322"/>
      <c r="G660" s="366"/>
    </row>
    <row r="661" spans="1:7" s="32" customFormat="1" x14ac:dyDescent="0.25">
      <c r="A661" s="315"/>
      <c r="B661" s="315"/>
      <c r="C661" s="326"/>
      <c r="D661" s="315"/>
      <c r="E661" s="321"/>
      <c r="F661" s="322"/>
      <c r="G661" s="366"/>
    </row>
    <row r="662" spans="1:7" s="32" customFormat="1" x14ac:dyDescent="0.25">
      <c r="A662" s="315"/>
      <c r="B662" s="315"/>
      <c r="C662" s="326"/>
      <c r="D662" s="315"/>
      <c r="E662" s="321"/>
      <c r="F662" s="322"/>
      <c r="G662" s="366"/>
    </row>
    <row r="663" spans="1:7" s="32" customFormat="1" x14ac:dyDescent="0.25">
      <c r="A663" s="315"/>
      <c r="B663" s="315"/>
      <c r="C663" s="326"/>
      <c r="D663" s="315"/>
      <c r="E663" s="321"/>
      <c r="F663" s="322"/>
      <c r="G663" s="366"/>
    </row>
    <row r="664" spans="1:7" s="32" customFormat="1" x14ac:dyDescent="0.25">
      <c r="A664" s="315"/>
      <c r="B664" s="315"/>
      <c r="C664" s="326"/>
      <c r="D664" s="315"/>
      <c r="E664" s="321"/>
      <c r="F664" s="322"/>
      <c r="G664" s="366"/>
    </row>
    <row r="665" spans="1:7" s="32" customFormat="1" x14ac:dyDescent="0.25">
      <c r="A665" s="315"/>
      <c r="B665" s="315"/>
      <c r="C665" s="326"/>
      <c r="D665" s="315"/>
      <c r="E665" s="321"/>
      <c r="F665" s="322"/>
      <c r="G665" s="366"/>
    </row>
    <row r="666" spans="1:7" s="32" customFormat="1" x14ac:dyDescent="0.25">
      <c r="A666" s="315"/>
      <c r="B666" s="315"/>
      <c r="C666" s="326"/>
      <c r="D666" s="315"/>
      <c r="E666" s="321"/>
      <c r="F666" s="322"/>
      <c r="G666" s="366"/>
    </row>
    <row r="667" spans="1:7" s="32" customFormat="1" x14ac:dyDescent="0.25">
      <c r="A667" s="315"/>
      <c r="B667" s="315"/>
      <c r="C667" s="326"/>
      <c r="D667" s="315"/>
      <c r="E667" s="321"/>
      <c r="F667" s="322"/>
      <c r="G667" s="366"/>
    </row>
    <row r="668" spans="1:7" s="32" customFormat="1" x14ac:dyDescent="0.25">
      <c r="A668" s="315"/>
      <c r="B668" s="315"/>
      <c r="C668" s="326"/>
      <c r="D668" s="315"/>
      <c r="E668" s="321"/>
      <c r="F668" s="322"/>
      <c r="G668" s="366"/>
    </row>
    <row r="669" spans="1:7" s="32" customFormat="1" x14ac:dyDescent="0.25">
      <c r="A669" s="315"/>
      <c r="B669" s="315"/>
      <c r="C669" s="326"/>
      <c r="D669" s="315"/>
      <c r="E669" s="321"/>
      <c r="F669" s="322"/>
      <c r="G669" s="366"/>
    </row>
    <row r="670" spans="1:7" s="32" customFormat="1" x14ac:dyDescent="0.25">
      <c r="A670" s="315"/>
      <c r="B670" s="315"/>
      <c r="C670" s="326"/>
      <c r="D670" s="315"/>
      <c r="E670" s="321"/>
      <c r="F670" s="322"/>
      <c r="G670" s="366"/>
    </row>
    <row r="671" spans="1:7" s="32" customFormat="1" x14ac:dyDescent="0.25">
      <c r="A671" s="315"/>
      <c r="B671" s="315"/>
      <c r="C671" s="326"/>
      <c r="D671" s="315"/>
      <c r="E671" s="321"/>
      <c r="F671" s="322"/>
      <c r="G671" s="366"/>
    </row>
    <row r="672" spans="1:7" s="32" customFormat="1" x14ac:dyDescent="0.25">
      <c r="A672" s="315"/>
      <c r="B672" s="315"/>
      <c r="C672" s="326"/>
      <c r="D672" s="315"/>
      <c r="E672" s="321"/>
      <c r="F672" s="322"/>
      <c r="G672" s="366"/>
    </row>
    <row r="673" spans="1:7" s="32" customFormat="1" x14ac:dyDescent="0.25">
      <c r="A673" s="315"/>
      <c r="B673" s="315"/>
      <c r="C673" s="326"/>
      <c r="D673" s="315"/>
      <c r="E673" s="321"/>
      <c r="F673" s="322"/>
      <c r="G673" s="366"/>
    </row>
    <row r="674" spans="1:7" s="32" customFormat="1" x14ac:dyDescent="0.25">
      <c r="A674" s="315"/>
      <c r="B674" s="315"/>
      <c r="C674" s="326"/>
      <c r="D674" s="315"/>
      <c r="E674" s="321"/>
      <c r="F674" s="322"/>
      <c r="G674" s="366"/>
    </row>
    <row r="675" spans="1:7" s="32" customFormat="1" x14ac:dyDescent="0.25">
      <c r="A675" s="315"/>
      <c r="B675" s="315"/>
      <c r="C675" s="326"/>
      <c r="D675" s="315"/>
      <c r="E675" s="321"/>
      <c r="F675" s="322"/>
      <c r="G675" s="366"/>
    </row>
    <row r="676" spans="1:7" s="32" customFormat="1" x14ac:dyDescent="0.25">
      <c r="A676" s="315"/>
      <c r="B676" s="315"/>
      <c r="C676" s="326"/>
      <c r="D676" s="315"/>
      <c r="E676" s="321"/>
      <c r="F676" s="322"/>
      <c r="G676" s="366"/>
    </row>
    <row r="677" spans="1:7" s="32" customFormat="1" x14ac:dyDescent="0.25">
      <c r="A677" s="315"/>
      <c r="B677" s="315"/>
      <c r="C677" s="326"/>
      <c r="D677" s="315"/>
      <c r="E677" s="321"/>
      <c r="F677" s="322"/>
      <c r="G677" s="366"/>
    </row>
    <row r="678" spans="1:7" s="32" customFormat="1" x14ac:dyDescent="0.25">
      <c r="A678" s="315"/>
      <c r="B678" s="315"/>
      <c r="C678" s="326"/>
      <c r="D678" s="315"/>
      <c r="E678" s="321"/>
      <c r="F678" s="322"/>
      <c r="G678" s="366"/>
    </row>
    <row r="679" spans="1:7" s="32" customFormat="1" x14ac:dyDescent="0.25">
      <c r="A679" s="315"/>
      <c r="B679" s="315"/>
      <c r="C679" s="326"/>
      <c r="D679" s="315"/>
      <c r="E679" s="321"/>
      <c r="F679" s="322"/>
      <c r="G679" s="366"/>
    </row>
    <row r="680" spans="1:7" s="32" customFormat="1" x14ac:dyDescent="0.25">
      <c r="A680" s="315"/>
      <c r="B680" s="315"/>
      <c r="C680" s="326"/>
      <c r="D680" s="315"/>
      <c r="E680" s="321"/>
      <c r="F680" s="322"/>
      <c r="G680" s="366"/>
    </row>
    <row r="681" spans="1:7" s="32" customFormat="1" x14ac:dyDescent="0.25">
      <c r="A681" s="315"/>
      <c r="B681" s="315"/>
      <c r="C681" s="326"/>
      <c r="D681" s="315"/>
      <c r="E681" s="321"/>
      <c r="F681" s="322"/>
      <c r="G681" s="366"/>
    </row>
    <row r="682" spans="1:7" s="32" customFormat="1" x14ac:dyDescent="0.25">
      <c r="A682" s="315"/>
      <c r="B682" s="315"/>
      <c r="C682" s="326"/>
      <c r="D682" s="315"/>
      <c r="E682" s="321"/>
      <c r="F682" s="322"/>
      <c r="G682" s="366"/>
    </row>
    <row r="683" spans="1:7" s="32" customFormat="1" x14ac:dyDescent="0.25">
      <c r="A683" s="315"/>
      <c r="B683" s="315"/>
      <c r="C683" s="326"/>
      <c r="D683" s="315"/>
      <c r="E683" s="321"/>
      <c r="F683" s="322"/>
      <c r="G683" s="366"/>
    </row>
    <row r="684" spans="1:7" s="32" customFormat="1" x14ac:dyDescent="0.25">
      <c r="A684" s="315"/>
      <c r="B684" s="315"/>
      <c r="C684" s="326"/>
      <c r="D684" s="315"/>
      <c r="E684" s="321"/>
      <c r="F684" s="322"/>
      <c r="G684" s="366"/>
    </row>
    <row r="685" spans="1:7" s="32" customFormat="1" x14ac:dyDescent="0.25">
      <c r="A685" s="315"/>
      <c r="B685" s="315"/>
      <c r="C685" s="326"/>
      <c r="D685" s="315"/>
      <c r="E685" s="321"/>
      <c r="F685" s="322"/>
      <c r="G685" s="366"/>
    </row>
    <row r="686" spans="1:7" s="32" customFormat="1" x14ac:dyDescent="0.25">
      <c r="A686" s="315"/>
      <c r="B686" s="315"/>
      <c r="C686" s="326"/>
      <c r="D686" s="315"/>
      <c r="E686" s="321"/>
      <c r="F686" s="322"/>
      <c r="G686" s="366"/>
    </row>
    <row r="687" spans="1:7" s="32" customFormat="1" x14ac:dyDescent="0.25">
      <c r="A687" s="315"/>
      <c r="B687" s="315"/>
      <c r="C687" s="326"/>
      <c r="D687" s="315"/>
      <c r="E687" s="321"/>
      <c r="F687" s="322"/>
      <c r="G687" s="366"/>
    </row>
    <row r="688" spans="1:7" s="32" customFormat="1" x14ac:dyDescent="0.25">
      <c r="A688" s="315"/>
      <c r="B688" s="315"/>
      <c r="C688" s="326"/>
      <c r="D688" s="315"/>
      <c r="E688" s="321"/>
      <c r="F688" s="322"/>
      <c r="G688" s="366"/>
    </row>
    <row r="689" spans="1:7" s="32" customFormat="1" x14ac:dyDescent="0.25">
      <c r="A689" s="315"/>
      <c r="B689" s="315"/>
      <c r="C689" s="326"/>
      <c r="D689" s="315"/>
      <c r="E689" s="321"/>
      <c r="F689" s="322"/>
      <c r="G689" s="366"/>
    </row>
    <row r="690" spans="1:7" s="32" customFormat="1" x14ac:dyDescent="0.25">
      <c r="A690" s="315"/>
      <c r="B690" s="315"/>
      <c r="C690" s="326"/>
      <c r="D690" s="315"/>
      <c r="E690" s="321"/>
      <c r="F690" s="322"/>
      <c r="G690" s="366"/>
    </row>
    <row r="691" spans="1:7" s="32" customFormat="1" x14ac:dyDescent="0.25">
      <c r="A691" s="315"/>
      <c r="B691" s="315"/>
      <c r="C691" s="326"/>
      <c r="D691" s="315"/>
      <c r="E691" s="321"/>
      <c r="F691" s="322"/>
      <c r="G691" s="366"/>
    </row>
    <row r="692" spans="1:7" s="32" customFormat="1" x14ac:dyDescent="0.25">
      <c r="A692" s="315"/>
      <c r="B692" s="315"/>
      <c r="C692" s="326"/>
      <c r="D692" s="315"/>
      <c r="E692" s="321"/>
      <c r="F692" s="322"/>
      <c r="G692" s="366"/>
    </row>
    <row r="693" spans="1:7" s="32" customFormat="1" x14ac:dyDescent="0.25">
      <c r="A693" s="315"/>
      <c r="B693" s="315"/>
      <c r="C693" s="326"/>
      <c r="D693" s="315"/>
      <c r="E693" s="321"/>
      <c r="F693" s="322"/>
      <c r="G693" s="366"/>
    </row>
    <row r="694" spans="1:7" s="32" customFormat="1" x14ac:dyDescent="0.25">
      <c r="A694" s="315"/>
      <c r="B694" s="315"/>
      <c r="C694" s="326"/>
      <c r="D694" s="315"/>
      <c r="E694" s="321"/>
      <c r="F694" s="322"/>
      <c r="G694" s="366"/>
    </row>
    <row r="695" spans="1:7" s="32" customFormat="1" x14ac:dyDescent="0.25">
      <c r="A695" s="315"/>
      <c r="B695" s="315"/>
      <c r="C695" s="326"/>
      <c r="D695" s="315"/>
      <c r="E695" s="321"/>
      <c r="F695" s="322"/>
      <c r="G695" s="366"/>
    </row>
    <row r="696" spans="1:7" s="32" customFormat="1" x14ac:dyDescent="0.25">
      <c r="A696" s="315"/>
      <c r="B696" s="315"/>
      <c r="C696" s="326"/>
      <c r="D696" s="315"/>
      <c r="E696" s="321"/>
      <c r="F696" s="322"/>
      <c r="G696" s="366"/>
    </row>
    <row r="697" spans="1:7" s="32" customFormat="1" x14ac:dyDescent="0.25">
      <c r="A697" s="315"/>
      <c r="B697" s="315"/>
      <c r="C697" s="326"/>
      <c r="D697" s="315"/>
      <c r="E697" s="321"/>
      <c r="F697" s="322"/>
      <c r="G697" s="366"/>
    </row>
    <row r="698" spans="1:7" s="32" customFormat="1" x14ac:dyDescent="0.25">
      <c r="A698" s="315"/>
      <c r="B698" s="315"/>
      <c r="C698" s="326"/>
      <c r="D698" s="315"/>
      <c r="E698" s="321"/>
      <c r="F698" s="322"/>
      <c r="G698" s="366"/>
    </row>
    <row r="699" spans="1:7" s="32" customFormat="1" x14ac:dyDescent="0.25">
      <c r="A699" s="315"/>
      <c r="B699" s="315"/>
      <c r="C699" s="326"/>
      <c r="D699" s="315"/>
      <c r="E699" s="321"/>
      <c r="F699" s="322"/>
      <c r="G699" s="366"/>
    </row>
    <row r="700" spans="1:7" s="32" customFormat="1" x14ac:dyDescent="0.25">
      <c r="A700" s="315"/>
      <c r="B700" s="315"/>
      <c r="C700" s="326"/>
      <c r="D700" s="315"/>
      <c r="E700" s="321"/>
      <c r="F700" s="322"/>
      <c r="G700" s="366"/>
    </row>
    <row r="701" spans="1:7" s="32" customFormat="1" x14ac:dyDescent="0.25">
      <c r="A701" s="315"/>
      <c r="B701" s="315"/>
      <c r="C701" s="326"/>
      <c r="D701" s="315"/>
      <c r="E701" s="321"/>
      <c r="F701" s="322"/>
      <c r="G701" s="366"/>
    </row>
    <row r="702" spans="1:7" s="32" customFormat="1" x14ac:dyDescent="0.25">
      <c r="A702" s="315"/>
      <c r="B702" s="315"/>
      <c r="C702" s="326"/>
      <c r="D702" s="315"/>
      <c r="E702" s="321"/>
      <c r="F702" s="322"/>
      <c r="G702" s="366"/>
    </row>
    <row r="703" spans="1:7" s="32" customFormat="1" x14ac:dyDescent="0.25">
      <c r="A703" s="315"/>
      <c r="B703" s="315"/>
      <c r="C703" s="326"/>
      <c r="D703" s="315"/>
      <c r="E703" s="321"/>
      <c r="F703" s="322"/>
      <c r="G703" s="366"/>
    </row>
    <row r="704" spans="1:7" s="32" customFormat="1" x14ac:dyDescent="0.25">
      <c r="A704" s="315"/>
      <c r="B704" s="315"/>
      <c r="C704" s="326"/>
      <c r="D704" s="315"/>
      <c r="E704" s="321"/>
      <c r="F704" s="322"/>
      <c r="G704" s="366"/>
    </row>
    <row r="705" spans="1:7" s="32" customFormat="1" x14ac:dyDescent="0.25">
      <c r="A705" s="315"/>
      <c r="B705" s="315"/>
      <c r="C705" s="326"/>
      <c r="D705" s="315"/>
      <c r="E705" s="321"/>
      <c r="F705" s="322"/>
      <c r="G705" s="366"/>
    </row>
    <row r="706" spans="1:7" s="32" customFormat="1" x14ac:dyDescent="0.25">
      <c r="A706" s="315"/>
      <c r="B706" s="315"/>
      <c r="C706" s="326"/>
      <c r="D706" s="315"/>
      <c r="E706" s="321"/>
      <c r="F706" s="322"/>
      <c r="G706" s="366"/>
    </row>
    <row r="707" spans="1:7" s="32" customFormat="1" x14ac:dyDescent="0.25">
      <c r="A707" s="315"/>
      <c r="B707" s="315"/>
      <c r="C707" s="326"/>
      <c r="D707" s="315"/>
      <c r="E707" s="321"/>
      <c r="F707" s="322"/>
      <c r="G707" s="366"/>
    </row>
    <row r="708" spans="1:7" s="32" customFormat="1" x14ac:dyDescent="0.25">
      <c r="A708" s="315"/>
      <c r="B708" s="315"/>
      <c r="C708" s="326"/>
      <c r="D708" s="315"/>
      <c r="E708" s="321"/>
      <c r="F708" s="322"/>
      <c r="G708" s="366"/>
    </row>
    <row r="709" spans="1:7" s="32" customFormat="1" x14ac:dyDescent="0.25">
      <c r="A709" s="315"/>
      <c r="B709" s="315"/>
      <c r="C709" s="326"/>
      <c r="D709" s="315"/>
      <c r="E709" s="321"/>
      <c r="F709" s="322"/>
      <c r="G709" s="366"/>
    </row>
    <row r="710" spans="1:7" s="32" customFormat="1" x14ac:dyDescent="0.25">
      <c r="A710" s="315"/>
      <c r="B710" s="315"/>
      <c r="C710" s="326"/>
      <c r="D710" s="315"/>
      <c r="E710" s="321"/>
      <c r="F710" s="322"/>
      <c r="G710" s="366"/>
    </row>
    <row r="711" spans="1:7" s="32" customFormat="1" x14ac:dyDescent="0.25">
      <c r="A711" s="315"/>
      <c r="B711" s="315"/>
      <c r="C711" s="326"/>
      <c r="D711" s="315"/>
      <c r="E711" s="321"/>
      <c r="F711" s="322"/>
      <c r="G711" s="366"/>
    </row>
    <row r="712" spans="1:7" s="32" customFormat="1" x14ac:dyDescent="0.25">
      <c r="A712" s="315"/>
      <c r="B712" s="315"/>
      <c r="C712" s="326"/>
      <c r="D712" s="315"/>
      <c r="E712" s="321"/>
      <c r="F712" s="322"/>
      <c r="G712" s="366"/>
    </row>
    <row r="713" spans="1:7" s="32" customFormat="1" x14ac:dyDescent="0.25">
      <c r="A713" s="315"/>
      <c r="B713" s="315"/>
      <c r="C713" s="326"/>
      <c r="D713" s="315"/>
      <c r="E713" s="321"/>
      <c r="F713" s="322"/>
      <c r="G713" s="366"/>
    </row>
    <row r="714" spans="1:7" s="32" customFormat="1" x14ac:dyDescent="0.25">
      <c r="A714" s="315"/>
      <c r="B714" s="315"/>
      <c r="C714" s="326"/>
      <c r="D714" s="315"/>
      <c r="E714" s="321"/>
      <c r="F714" s="322"/>
      <c r="G714" s="366"/>
    </row>
    <row r="715" spans="1:7" s="32" customFormat="1" x14ac:dyDescent="0.25">
      <c r="A715" s="315"/>
      <c r="B715" s="315"/>
      <c r="C715" s="326"/>
      <c r="D715" s="315"/>
      <c r="E715" s="321"/>
      <c r="F715" s="322"/>
      <c r="G715" s="366"/>
    </row>
    <row r="716" spans="1:7" s="32" customFormat="1" x14ac:dyDescent="0.25">
      <c r="A716" s="315"/>
      <c r="B716" s="315"/>
      <c r="C716" s="326"/>
      <c r="D716" s="315"/>
      <c r="E716" s="321"/>
      <c r="F716" s="322"/>
      <c r="G716" s="366"/>
    </row>
    <row r="717" spans="1:7" s="32" customFormat="1" x14ac:dyDescent="0.25">
      <c r="A717" s="315"/>
      <c r="B717" s="315"/>
      <c r="C717" s="326"/>
      <c r="D717" s="315"/>
      <c r="E717" s="321"/>
      <c r="F717" s="322"/>
      <c r="G717" s="366"/>
    </row>
    <row r="718" spans="1:7" s="32" customFormat="1" x14ac:dyDescent="0.25">
      <c r="A718" s="315"/>
      <c r="B718" s="315"/>
      <c r="C718" s="326"/>
      <c r="D718" s="315"/>
      <c r="E718" s="321"/>
      <c r="F718" s="322"/>
      <c r="G718" s="366"/>
    </row>
    <row r="719" spans="1:7" s="32" customFormat="1" x14ac:dyDescent="0.25">
      <c r="A719" s="315"/>
      <c r="B719" s="315"/>
      <c r="C719" s="326"/>
      <c r="D719" s="315"/>
      <c r="E719" s="321"/>
      <c r="F719" s="322"/>
      <c r="G719" s="366"/>
    </row>
    <row r="720" spans="1:7" s="32" customFormat="1" x14ac:dyDescent="0.25">
      <c r="A720" s="315"/>
      <c r="B720" s="315"/>
      <c r="C720" s="326"/>
      <c r="D720" s="315"/>
      <c r="E720" s="321"/>
      <c r="F720" s="322"/>
      <c r="G720" s="366"/>
    </row>
    <row r="721" spans="1:7" s="32" customFormat="1" x14ac:dyDescent="0.25">
      <c r="A721" s="315"/>
      <c r="B721" s="315"/>
      <c r="C721" s="326"/>
      <c r="D721" s="315"/>
      <c r="E721" s="321"/>
      <c r="F721" s="322"/>
      <c r="G721" s="366"/>
    </row>
    <row r="722" spans="1:7" s="32" customFormat="1" x14ac:dyDescent="0.25">
      <c r="A722" s="315"/>
      <c r="B722" s="315"/>
      <c r="C722" s="326"/>
      <c r="D722" s="315"/>
      <c r="E722" s="321"/>
      <c r="F722" s="322"/>
      <c r="G722" s="366"/>
    </row>
    <row r="723" spans="1:7" s="32" customFormat="1" x14ac:dyDescent="0.25">
      <c r="A723" s="315"/>
      <c r="B723" s="315"/>
      <c r="C723" s="326"/>
      <c r="D723" s="315"/>
      <c r="E723" s="321"/>
      <c r="F723" s="322"/>
      <c r="G723" s="366"/>
    </row>
    <row r="724" spans="1:7" s="32" customFormat="1" x14ac:dyDescent="0.25">
      <c r="A724" s="315"/>
      <c r="B724" s="315"/>
      <c r="C724" s="326"/>
      <c r="D724" s="315"/>
      <c r="E724" s="321"/>
      <c r="F724" s="322"/>
      <c r="G724" s="366"/>
    </row>
    <row r="725" spans="1:7" s="32" customFormat="1" x14ac:dyDescent="0.25">
      <c r="A725" s="315"/>
      <c r="B725" s="315"/>
      <c r="C725" s="326"/>
      <c r="D725" s="315"/>
      <c r="E725" s="321"/>
      <c r="F725" s="322"/>
      <c r="G725" s="366"/>
    </row>
    <row r="726" spans="1:7" s="32" customFormat="1" x14ac:dyDescent="0.25">
      <c r="A726" s="315"/>
      <c r="B726" s="315"/>
      <c r="C726" s="326"/>
      <c r="D726" s="315"/>
      <c r="E726" s="321"/>
      <c r="F726" s="322"/>
      <c r="G726" s="366"/>
    </row>
    <row r="727" spans="1:7" s="32" customFormat="1" x14ac:dyDescent="0.25">
      <c r="A727" s="315"/>
      <c r="B727" s="315"/>
      <c r="C727" s="326"/>
      <c r="D727" s="315"/>
      <c r="E727" s="321"/>
      <c r="F727" s="322"/>
      <c r="G727" s="366"/>
    </row>
    <row r="728" spans="1:7" s="32" customFormat="1" x14ac:dyDescent="0.25">
      <c r="A728" s="315"/>
      <c r="B728" s="315"/>
      <c r="C728" s="326"/>
      <c r="D728" s="315"/>
      <c r="E728" s="321"/>
      <c r="F728" s="322"/>
      <c r="G728" s="366"/>
    </row>
    <row r="729" spans="1:7" s="32" customFormat="1" x14ac:dyDescent="0.25">
      <c r="A729" s="315"/>
      <c r="B729" s="315"/>
      <c r="C729" s="326"/>
      <c r="D729" s="315"/>
      <c r="E729" s="321"/>
      <c r="F729" s="322"/>
      <c r="G729" s="366"/>
    </row>
    <row r="730" spans="1:7" s="32" customFormat="1" x14ac:dyDescent="0.25">
      <c r="A730" s="315"/>
      <c r="B730" s="315"/>
      <c r="C730" s="326"/>
      <c r="D730" s="315"/>
      <c r="E730" s="321"/>
      <c r="F730" s="322"/>
      <c r="G730" s="366"/>
    </row>
    <row r="731" spans="1:7" s="32" customFormat="1" x14ac:dyDescent="0.25">
      <c r="A731" s="315"/>
      <c r="B731" s="315"/>
      <c r="C731" s="326"/>
      <c r="D731" s="315"/>
      <c r="E731" s="321"/>
      <c r="F731" s="322"/>
      <c r="G731" s="366"/>
    </row>
    <row r="732" spans="1:7" s="32" customFormat="1" x14ac:dyDescent="0.25">
      <c r="A732" s="315"/>
      <c r="B732" s="315"/>
      <c r="C732" s="326"/>
      <c r="D732" s="315"/>
      <c r="E732" s="321"/>
      <c r="F732" s="322"/>
      <c r="G732" s="366"/>
    </row>
    <row r="733" spans="1:7" s="32" customFormat="1" x14ac:dyDescent="0.25">
      <c r="A733" s="315"/>
      <c r="B733" s="315"/>
      <c r="C733" s="326"/>
      <c r="D733" s="315"/>
      <c r="E733" s="321"/>
      <c r="F733" s="322"/>
      <c r="G733" s="366"/>
    </row>
    <row r="734" spans="1:7" s="32" customFormat="1" x14ac:dyDescent="0.25">
      <c r="A734" s="315"/>
      <c r="B734" s="315"/>
      <c r="C734" s="326"/>
      <c r="D734" s="315"/>
      <c r="E734" s="321"/>
      <c r="F734" s="322"/>
      <c r="G734" s="366"/>
    </row>
    <row r="735" spans="1:7" s="32" customFormat="1" x14ac:dyDescent="0.25">
      <c r="A735" s="315"/>
      <c r="B735" s="315"/>
      <c r="C735" s="326"/>
      <c r="D735" s="315"/>
      <c r="E735" s="321"/>
      <c r="F735" s="322"/>
      <c r="G735" s="366"/>
    </row>
    <row r="736" spans="1:7" s="32" customFormat="1" x14ac:dyDescent="0.25">
      <c r="A736" s="315"/>
      <c r="B736" s="315"/>
      <c r="C736" s="326"/>
      <c r="D736" s="315"/>
      <c r="E736" s="321"/>
      <c r="F736" s="322"/>
      <c r="G736" s="366"/>
    </row>
    <row r="737" spans="1:7" s="32" customFormat="1" x14ac:dyDescent="0.25">
      <c r="A737" s="315"/>
      <c r="B737" s="315"/>
      <c r="C737" s="326"/>
      <c r="D737" s="315"/>
      <c r="E737" s="321"/>
      <c r="F737" s="322"/>
      <c r="G737" s="366"/>
    </row>
    <row r="738" spans="1:7" s="32" customFormat="1" x14ac:dyDescent="0.25">
      <c r="A738" s="315"/>
      <c r="B738" s="315"/>
      <c r="C738" s="326"/>
      <c r="D738" s="315"/>
      <c r="E738" s="321"/>
      <c r="F738" s="322"/>
      <c r="G738" s="366"/>
    </row>
    <row r="739" spans="1:7" s="32" customFormat="1" x14ac:dyDescent="0.25">
      <c r="A739" s="315"/>
      <c r="B739" s="315"/>
      <c r="C739" s="326"/>
      <c r="D739" s="315"/>
      <c r="E739" s="321"/>
      <c r="F739" s="322"/>
      <c r="G739" s="366"/>
    </row>
    <row r="740" spans="1:7" s="32" customFormat="1" x14ac:dyDescent="0.25">
      <c r="A740" s="315"/>
      <c r="B740" s="315"/>
      <c r="C740" s="326"/>
      <c r="D740" s="315"/>
      <c r="E740" s="321"/>
      <c r="F740" s="322"/>
      <c r="G740" s="366"/>
    </row>
    <row r="741" spans="1:7" s="32" customFormat="1" x14ac:dyDescent="0.25">
      <c r="A741" s="315"/>
      <c r="B741" s="315"/>
      <c r="C741" s="326"/>
      <c r="D741" s="315"/>
      <c r="E741" s="321"/>
      <c r="F741" s="322"/>
      <c r="G741" s="366"/>
    </row>
    <row r="742" spans="1:7" s="32" customFormat="1" x14ac:dyDescent="0.25">
      <c r="A742" s="315"/>
      <c r="B742" s="315"/>
      <c r="C742" s="326"/>
      <c r="D742" s="315"/>
      <c r="E742" s="321"/>
      <c r="F742" s="322"/>
      <c r="G742" s="366"/>
    </row>
    <row r="743" spans="1:7" s="32" customFormat="1" x14ac:dyDescent="0.25">
      <c r="A743" s="315"/>
      <c r="B743" s="315"/>
      <c r="C743" s="326"/>
      <c r="D743" s="315"/>
      <c r="E743" s="321"/>
      <c r="F743" s="322"/>
      <c r="G743" s="366"/>
    </row>
    <row r="744" spans="1:7" s="32" customFormat="1" x14ac:dyDescent="0.25">
      <c r="A744" s="315"/>
      <c r="B744" s="315"/>
      <c r="C744" s="326"/>
      <c r="D744" s="315"/>
      <c r="E744" s="321"/>
      <c r="F744" s="322"/>
      <c r="G744" s="366"/>
    </row>
    <row r="745" spans="1:7" s="32" customFormat="1" x14ac:dyDescent="0.25">
      <c r="A745" s="315"/>
      <c r="B745" s="315"/>
      <c r="C745" s="326"/>
      <c r="D745" s="315"/>
      <c r="E745" s="321"/>
      <c r="F745" s="322"/>
      <c r="G745" s="366"/>
    </row>
    <row r="746" spans="1:7" s="32" customFormat="1" x14ac:dyDescent="0.25">
      <c r="A746" s="315"/>
      <c r="B746" s="315"/>
      <c r="C746" s="326"/>
      <c r="D746" s="315"/>
      <c r="E746" s="321"/>
      <c r="F746" s="322"/>
      <c r="G746" s="366"/>
    </row>
    <row r="747" spans="1:7" s="32" customFormat="1" x14ac:dyDescent="0.25">
      <c r="A747" s="315"/>
      <c r="B747" s="315"/>
      <c r="C747" s="326"/>
      <c r="D747" s="315"/>
      <c r="E747" s="321"/>
      <c r="F747" s="322"/>
      <c r="G747" s="366"/>
    </row>
    <row r="748" spans="1:7" s="32" customFormat="1" x14ac:dyDescent="0.25">
      <c r="A748" s="315"/>
      <c r="B748" s="315"/>
      <c r="C748" s="326"/>
      <c r="D748" s="315"/>
      <c r="E748" s="321"/>
      <c r="F748" s="322"/>
      <c r="G748" s="366"/>
    </row>
    <row r="749" spans="1:7" s="32" customFormat="1" x14ac:dyDescent="0.25">
      <c r="A749" s="315"/>
      <c r="B749" s="315"/>
      <c r="C749" s="326"/>
      <c r="D749" s="315"/>
      <c r="E749" s="321"/>
      <c r="F749" s="322"/>
      <c r="G749" s="366"/>
    </row>
    <row r="750" spans="1:7" s="32" customFormat="1" x14ac:dyDescent="0.25">
      <c r="A750" s="315"/>
      <c r="B750" s="315"/>
      <c r="C750" s="326"/>
      <c r="D750" s="315"/>
      <c r="E750" s="321"/>
      <c r="F750" s="322"/>
      <c r="G750" s="366"/>
    </row>
    <row r="751" spans="1:7" s="32" customFormat="1" x14ac:dyDescent="0.25">
      <c r="A751" s="315"/>
      <c r="B751" s="315"/>
      <c r="C751" s="326"/>
      <c r="D751" s="315"/>
      <c r="E751" s="321"/>
      <c r="F751" s="322"/>
      <c r="G751" s="366"/>
    </row>
    <row r="752" spans="1:7" s="32" customFormat="1" x14ac:dyDescent="0.25">
      <c r="A752" s="315"/>
      <c r="B752" s="315"/>
      <c r="C752" s="326"/>
      <c r="D752" s="315"/>
      <c r="E752" s="321"/>
      <c r="F752" s="322"/>
      <c r="G752" s="366"/>
    </row>
    <row r="753" spans="1:7" s="32" customFormat="1" x14ac:dyDescent="0.25">
      <c r="A753" s="315"/>
      <c r="B753" s="315"/>
      <c r="C753" s="326"/>
      <c r="D753" s="315"/>
      <c r="E753" s="321"/>
      <c r="F753" s="322"/>
      <c r="G753" s="366"/>
    </row>
    <row r="754" spans="1:7" s="32" customFormat="1" x14ac:dyDescent="0.25">
      <c r="A754" s="315"/>
      <c r="B754" s="315"/>
      <c r="C754" s="326"/>
      <c r="D754" s="315"/>
      <c r="E754" s="321"/>
      <c r="F754" s="322"/>
      <c r="G754" s="366"/>
    </row>
    <row r="755" spans="1:7" s="32" customFormat="1" x14ac:dyDescent="0.25">
      <c r="A755" s="315"/>
      <c r="B755" s="315"/>
      <c r="C755" s="326"/>
      <c r="D755" s="315"/>
      <c r="E755" s="321"/>
      <c r="F755" s="322"/>
      <c r="G755" s="366"/>
    </row>
    <row r="756" spans="1:7" s="32" customFormat="1" x14ac:dyDescent="0.25">
      <c r="A756" s="315"/>
      <c r="B756" s="315"/>
      <c r="C756" s="326"/>
      <c r="D756" s="315"/>
      <c r="E756" s="321"/>
      <c r="F756" s="322"/>
      <c r="G756" s="366"/>
    </row>
    <row r="757" spans="1:7" s="32" customFormat="1" x14ac:dyDescent="0.25">
      <c r="A757" s="315"/>
      <c r="B757" s="315"/>
      <c r="C757" s="326"/>
      <c r="D757" s="315"/>
      <c r="E757" s="321"/>
      <c r="F757" s="322"/>
      <c r="G757" s="366"/>
    </row>
    <row r="758" spans="1:7" s="32" customFormat="1" x14ac:dyDescent="0.25">
      <c r="A758" s="315"/>
      <c r="B758" s="315"/>
      <c r="C758" s="326"/>
      <c r="D758" s="315"/>
      <c r="E758" s="321"/>
      <c r="F758" s="322"/>
      <c r="G758" s="366"/>
    </row>
    <row r="759" spans="1:7" s="32" customFormat="1" x14ac:dyDescent="0.25">
      <c r="A759" s="315"/>
      <c r="B759" s="315"/>
      <c r="C759" s="326"/>
      <c r="D759" s="315"/>
      <c r="E759" s="321"/>
      <c r="F759" s="322"/>
      <c r="G759" s="366"/>
    </row>
    <row r="760" spans="1:7" s="32" customFormat="1" x14ac:dyDescent="0.25">
      <c r="A760" s="315"/>
      <c r="B760" s="315"/>
      <c r="C760" s="326"/>
      <c r="D760" s="315"/>
      <c r="E760" s="321"/>
      <c r="F760" s="322"/>
      <c r="G760" s="366"/>
    </row>
    <row r="761" spans="1:7" s="32" customFormat="1" x14ac:dyDescent="0.25">
      <c r="A761" s="315"/>
      <c r="B761" s="315"/>
      <c r="C761" s="326"/>
      <c r="D761" s="315"/>
      <c r="E761" s="321"/>
      <c r="F761" s="322"/>
      <c r="G761" s="366"/>
    </row>
    <row r="762" spans="1:7" s="32" customFormat="1" x14ac:dyDescent="0.25">
      <c r="A762" s="315"/>
      <c r="B762" s="315"/>
      <c r="C762" s="326"/>
      <c r="D762" s="315"/>
      <c r="E762" s="321"/>
      <c r="F762" s="322"/>
      <c r="G762" s="366"/>
    </row>
    <row r="763" spans="1:7" s="32" customFormat="1" x14ac:dyDescent="0.25">
      <c r="A763" s="315"/>
      <c r="B763" s="315"/>
      <c r="C763" s="326"/>
      <c r="D763" s="315"/>
      <c r="E763" s="321"/>
      <c r="F763" s="322"/>
      <c r="G763" s="366"/>
    </row>
    <row r="764" spans="1:7" s="32" customFormat="1" x14ac:dyDescent="0.25">
      <c r="A764" s="315"/>
      <c r="B764" s="315"/>
      <c r="C764" s="326"/>
      <c r="D764" s="315"/>
      <c r="E764" s="321"/>
      <c r="F764" s="322"/>
      <c r="G764" s="366"/>
    </row>
    <row r="765" spans="1:7" s="32" customFormat="1" x14ac:dyDescent="0.25">
      <c r="A765" s="315"/>
      <c r="B765" s="315"/>
      <c r="C765" s="326"/>
      <c r="D765" s="315"/>
      <c r="E765" s="321"/>
      <c r="F765" s="322"/>
      <c r="G765" s="366"/>
    </row>
    <row r="766" spans="1:7" s="32" customFormat="1" x14ac:dyDescent="0.25">
      <c r="A766" s="315"/>
      <c r="B766" s="315"/>
      <c r="C766" s="326"/>
      <c r="D766" s="315"/>
      <c r="E766" s="321"/>
      <c r="F766" s="322"/>
      <c r="G766" s="366"/>
    </row>
    <row r="767" spans="1:7" s="32" customFormat="1" x14ac:dyDescent="0.25">
      <c r="A767" s="315"/>
      <c r="B767" s="315"/>
      <c r="C767" s="326"/>
      <c r="D767" s="315"/>
      <c r="E767" s="321"/>
      <c r="F767" s="322"/>
      <c r="G767" s="366"/>
    </row>
    <row r="768" spans="1:7" s="32" customFormat="1" x14ac:dyDescent="0.25">
      <c r="A768" s="315"/>
      <c r="B768" s="315"/>
      <c r="C768" s="326"/>
      <c r="D768" s="315"/>
      <c r="E768" s="321"/>
      <c r="F768" s="322"/>
      <c r="G768" s="366"/>
    </row>
    <row r="769" spans="1:7" s="32" customFormat="1" x14ac:dyDescent="0.25">
      <c r="A769" s="315"/>
      <c r="B769" s="315"/>
      <c r="C769" s="326"/>
      <c r="D769" s="315"/>
      <c r="E769" s="321"/>
      <c r="F769" s="322"/>
      <c r="G769" s="366"/>
    </row>
    <row r="770" spans="1:7" s="32" customFormat="1" x14ac:dyDescent="0.25">
      <c r="A770" s="315"/>
      <c r="B770" s="315"/>
      <c r="C770" s="326"/>
      <c r="D770" s="315"/>
      <c r="E770" s="321"/>
      <c r="F770" s="322"/>
      <c r="G770" s="366"/>
    </row>
    <row r="771" spans="1:7" s="32" customFormat="1" x14ac:dyDescent="0.25">
      <c r="A771" s="315"/>
      <c r="B771" s="315"/>
      <c r="C771" s="326"/>
      <c r="D771" s="315"/>
      <c r="E771" s="321"/>
      <c r="F771" s="322"/>
      <c r="G771" s="366"/>
    </row>
    <row r="772" spans="1:7" s="32" customFormat="1" x14ac:dyDescent="0.25">
      <c r="A772" s="315"/>
      <c r="B772" s="315"/>
      <c r="C772" s="326"/>
      <c r="D772" s="315"/>
      <c r="E772" s="321"/>
      <c r="F772" s="322"/>
      <c r="G772" s="366"/>
    </row>
    <row r="773" spans="1:7" s="32" customFormat="1" x14ac:dyDescent="0.25">
      <c r="A773" s="315"/>
      <c r="B773" s="315"/>
      <c r="C773" s="326"/>
      <c r="D773" s="315"/>
      <c r="E773" s="321"/>
      <c r="F773" s="322"/>
      <c r="G773" s="366"/>
    </row>
    <row r="774" spans="1:7" s="32" customFormat="1" x14ac:dyDescent="0.25">
      <c r="A774" s="315"/>
      <c r="B774" s="315"/>
      <c r="C774" s="326"/>
      <c r="D774" s="315"/>
      <c r="E774" s="321"/>
      <c r="F774" s="322"/>
      <c r="G774" s="366"/>
    </row>
    <row r="775" spans="1:7" s="32" customFormat="1" x14ac:dyDescent="0.25">
      <c r="A775" s="315"/>
      <c r="B775" s="315"/>
      <c r="C775" s="326"/>
      <c r="D775" s="315"/>
      <c r="E775" s="321"/>
      <c r="F775" s="322"/>
      <c r="G775" s="366"/>
    </row>
    <row r="776" spans="1:7" s="32" customFormat="1" x14ac:dyDescent="0.25">
      <c r="A776" s="315"/>
      <c r="B776" s="315"/>
      <c r="C776" s="326"/>
      <c r="D776" s="315"/>
      <c r="E776" s="321"/>
      <c r="F776" s="322"/>
      <c r="G776" s="366"/>
    </row>
    <row r="777" spans="1:7" s="32" customFormat="1" x14ac:dyDescent="0.25">
      <c r="A777" s="315"/>
      <c r="B777" s="315"/>
      <c r="C777" s="326"/>
      <c r="D777" s="315"/>
      <c r="E777" s="321"/>
      <c r="F777" s="322"/>
      <c r="G777" s="366"/>
    </row>
    <row r="778" spans="1:7" s="32" customFormat="1" x14ac:dyDescent="0.25">
      <c r="A778" s="315"/>
      <c r="B778" s="315"/>
      <c r="C778" s="326"/>
      <c r="D778" s="315"/>
      <c r="E778" s="321"/>
      <c r="F778" s="322"/>
      <c r="G778" s="366"/>
    </row>
    <row r="779" spans="1:7" s="32" customFormat="1" x14ac:dyDescent="0.25">
      <c r="A779" s="315"/>
      <c r="B779" s="315"/>
      <c r="C779" s="326"/>
      <c r="D779" s="315"/>
      <c r="E779" s="321"/>
      <c r="F779" s="322"/>
      <c r="G779" s="366"/>
    </row>
    <row r="780" spans="1:7" s="32" customFormat="1" x14ac:dyDescent="0.25">
      <c r="A780" s="315"/>
      <c r="B780" s="315"/>
      <c r="C780" s="326"/>
      <c r="D780" s="315"/>
      <c r="E780" s="321"/>
      <c r="F780" s="322"/>
      <c r="G780" s="366"/>
    </row>
    <row r="781" spans="1:7" s="32" customFormat="1" x14ac:dyDescent="0.25">
      <c r="A781" s="315"/>
      <c r="B781" s="315"/>
      <c r="C781" s="326"/>
      <c r="D781" s="315"/>
      <c r="E781" s="321"/>
      <c r="F781" s="322"/>
      <c r="G781" s="366"/>
    </row>
    <row r="782" spans="1:7" s="32" customFormat="1" x14ac:dyDescent="0.25">
      <c r="A782" s="315"/>
      <c r="B782" s="315"/>
      <c r="C782" s="326"/>
      <c r="D782" s="315"/>
      <c r="E782" s="321"/>
      <c r="F782" s="322"/>
      <c r="G782" s="366"/>
    </row>
    <row r="783" spans="1:7" s="32" customFormat="1" x14ac:dyDescent="0.25">
      <c r="A783" s="315"/>
      <c r="B783" s="315"/>
      <c r="C783" s="326"/>
      <c r="D783" s="315"/>
      <c r="E783" s="321"/>
      <c r="F783" s="322"/>
      <c r="G783" s="366"/>
    </row>
    <row r="784" spans="1:7" s="32" customFormat="1" x14ac:dyDescent="0.25">
      <c r="A784" s="315"/>
      <c r="B784" s="315"/>
      <c r="C784" s="326"/>
      <c r="D784" s="315"/>
      <c r="E784" s="321"/>
      <c r="F784" s="322"/>
      <c r="G784" s="366"/>
    </row>
    <row r="785" spans="1:7" s="32" customFormat="1" x14ac:dyDescent="0.25">
      <c r="A785" s="315"/>
      <c r="B785" s="315"/>
      <c r="C785" s="326"/>
      <c r="D785" s="315"/>
      <c r="E785" s="321"/>
      <c r="F785" s="322"/>
      <c r="G785" s="366"/>
    </row>
    <row r="786" spans="1:7" s="32" customFormat="1" x14ac:dyDescent="0.25">
      <c r="A786" s="315"/>
      <c r="B786" s="315"/>
      <c r="C786" s="326"/>
      <c r="D786" s="315"/>
      <c r="E786" s="321"/>
      <c r="F786" s="322"/>
      <c r="G786" s="366"/>
    </row>
    <row r="787" spans="1:7" s="32" customFormat="1" x14ac:dyDescent="0.25">
      <c r="A787" s="315"/>
      <c r="B787" s="315"/>
      <c r="C787" s="326"/>
      <c r="D787" s="315"/>
      <c r="E787" s="321"/>
      <c r="F787" s="322"/>
      <c r="G787" s="366"/>
    </row>
    <row r="788" spans="1:7" s="32" customFormat="1" x14ac:dyDescent="0.25">
      <c r="A788" s="315"/>
      <c r="B788" s="315"/>
      <c r="C788" s="326"/>
      <c r="D788" s="315"/>
      <c r="E788" s="321"/>
      <c r="F788" s="322"/>
      <c r="G788" s="366"/>
    </row>
    <row r="789" spans="1:7" s="32" customFormat="1" x14ac:dyDescent="0.25">
      <c r="A789" s="315"/>
      <c r="B789" s="315"/>
      <c r="C789" s="326"/>
      <c r="D789" s="315"/>
      <c r="E789" s="321"/>
      <c r="F789" s="322"/>
      <c r="G789" s="366"/>
    </row>
    <row r="790" spans="1:7" s="32" customFormat="1" x14ac:dyDescent="0.25">
      <c r="A790" s="315"/>
      <c r="B790" s="315"/>
      <c r="C790" s="326"/>
      <c r="D790" s="315"/>
      <c r="E790" s="321"/>
      <c r="F790" s="322"/>
      <c r="G790" s="366"/>
    </row>
    <row r="791" spans="1:7" s="32" customFormat="1" x14ac:dyDescent="0.25">
      <c r="A791" s="315"/>
      <c r="B791" s="315"/>
      <c r="C791" s="326"/>
      <c r="D791" s="315"/>
      <c r="E791" s="321"/>
      <c r="F791" s="322"/>
      <c r="G791" s="366"/>
    </row>
    <row r="792" spans="1:7" s="32" customFormat="1" x14ac:dyDescent="0.25">
      <c r="A792" s="315"/>
      <c r="B792" s="315"/>
      <c r="C792" s="326"/>
      <c r="D792" s="315"/>
      <c r="E792" s="321"/>
      <c r="F792" s="322"/>
      <c r="G792" s="366"/>
    </row>
    <row r="793" spans="1:7" s="32" customFormat="1" x14ac:dyDescent="0.25">
      <c r="A793" s="315"/>
      <c r="B793" s="315"/>
      <c r="C793" s="326"/>
      <c r="D793" s="315"/>
      <c r="E793" s="321"/>
      <c r="F793" s="322"/>
      <c r="G793" s="366"/>
    </row>
    <row r="794" spans="1:7" s="32" customFormat="1" x14ac:dyDescent="0.25">
      <c r="A794" s="315"/>
      <c r="B794" s="315"/>
      <c r="C794" s="326"/>
      <c r="D794" s="315"/>
      <c r="E794" s="321"/>
      <c r="F794" s="322"/>
      <c r="G794" s="366"/>
    </row>
    <row r="795" spans="1:7" s="32" customFormat="1" x14ac:dyDescent="0.25">
      <c r="A795" s="315"/>
      <c r="B795" s="315"/>
      <c r="C795" s="326"/>
      <c r="D795" s="315"/>
      <c r="E795" s="321"/>
      <c r="F795" s="322"/>
      <c r="G795" s="366"/>
    </row>
    <row r="796" spans="1:7" s="32" customFormat="1" x14ac:dyDescent="0.25">
      <c r="A796" s="315"/>
      <c r="B796" s="315"/>
      <c r="C796" s="326"/>
      <c r="D796" s="315"/>
      <c r="E796" s="321"/>
      <c r="F796" s="322"/>
      <c r="G796" s="366"/>
    </row>
    <row r="797" spans="1:7" s="32" customFormat="1" x14ac:dyDescent="0.25">
      <c r="A797" s="315"/>
      <c r="B797" s="315"/>
      <c r="C797" s="326"/>
      <c r="D797" s="315"/>
      <c r="E797" s="321"/>
      <c r="F797" s="322"/>
      <c r="G797" s="366"/>
    </row>
    <row r="798" spans="1:7" s="32" customFormat="1" x14ac:dyDescent="0.25">
      <c r="A798" s="315"/>
      <c r="B798" s="315"/>
      <c r="C798" s="326"/>
      <c r="D798" s="315"/>
      <c r="E798" s="321"/>
      <c r="F798" s="322"/>
      <c r="G798" s="366"/>
    </row>
    <row r="799" spans="1:7" s="32" customFormat="1" x14ac:dyDescent="0.25">
      <c r="A799" s="315"/>
      <c r="B799" s="315"/>
      <c r="C799" s="326"/>
      <c r="D799" s="315"/>
      <c r="E799" s="321"/>
      <c r="F799" s="322"/>
      <c r="G799" s="366"/>
    </row>
    <row r="800" spans="1:7" s="32" customFormat="1" x14ac:dyDescent="0.25">
      <c r="A800" s="315"/>
      <c r="B800" s="315"/>
      <c r="C800" s="326"/>
      <c r="D800" s="315"/>
      <c r="E800" s="321"/>
      <c r="F800" s="322"/>
      <c r="G800" s="366"/>
    </row>
    <row r="801" spans="1:7" s="32" customFormat="1" x14ac:dyDescent="0.25">
      <c r="A801" s="315"/>
      <c r="B801" s="315"/>
      <c r="C801" s="326"/>
      <c r="D801" s="315"/>
      <c r="E801" s="321"/>
      <c r="F801" s="322"/>
      <c r="G801" s="366"/>
    </row>
    <row r="802" spans="1:7" s="32" customFormat="1" x14ac:dyDescent="0.25">
      <c r="A802" s="315"/>
      <c r="B802" s="315"/>
      <c r="C802" s="326"/>
      <c r="D802" s="315"/>
      <c r="E802" s="321"/>
      <c r="F802" s="322"/>
      <c r="G802" s="366"/>
    </row>
    <row r="803" spans="1:7" s="32" customFormat="1" x14ac:dyDescent="0.25">
      <c r="A803" s="315"/>
      <c r="B803" s="315"/>
      <c r="C803" s="326"/>
      <c r="D803" s="315"/>
      <c r="E803" s="321"/>
      <c r="F803" s="322"/>
      <c r="G803" s="366"/>
    </row>
    <row r="804" spans="1:7" s="32" customFormat="1" x14ac:dyDescent="0.25">
      <c r="A804" s="315"/>
      <c r="B804" s="315"/>
      <c r="C804" s="326"/>
      <c r="D804" s="315"/>
      <c r="E804" s="321"/>
      <c r="F804" s="322"/>
      <c r="G804" s="366"/>
    </row>
    <row r="805" spans="1:7" s="32" customFormat="1" x14ac:dyDescent="0.25">
      <c r="A805" s="315"/>
      <c r="B805" s="315"/>
      <c r="C805" s="326"/>
      <c r="D805" s="315"/>
      <c r="E805" s="321"/>
      <c r="F805" s="322"/>
      <c r="G805" s="366"/>
    </row>
    <row r="806" spans="1:7" s="32" customFormat="1" x14ac:dyDescent="0.25">
      <c r="A806" s="315"/>
      <c r="B806" s="315"/>
      <c r="C806" s="326"/>
      <c r="D806" s="315"/>
      <c r="E806" s="321"/>
      <c r="F806" s="322"/>
      <c r="G806" s="366"/>
    </row>
    <row r="807" spans="1:7" s="32" customFormat="1" x14ac:dyDescent="0.25">
      <c r="A807" s="315"/>
      <c r="B807" s="315"/>
      <c r="C807" s="326"/>
      <c r="D807" s="315"/>
      <c r="E807" s="321"/>
      <c r="F807" s="322"/>
      <c r="G807" s="366"/>
    </row>
    <row r="808" spans="1:7" s="32" customFormat="1" x14ac:dyDescent="0.25">
      <c r="A808" s="315"/>
      <c r="B808" s="315"/>
      <c r="C808" s="326"/>
      <c r="D808" s="315"/>
      <c r="E808" s="321"/>
      <c r="F808" s="322"/>
      <c r="G808" s="366"/>
    </row>
    <row r="809" spans="1:7" s="32" customFormat="1" x14ac:dyDescent="0.25">
      <c r="A809" s="315"/>
      <c r="B809" s="315"/>
      <c r="C809" s="326"/>
      <c r="D809" s="315"/>
      <c r="E809" s="321"/>
      <c r="F809" s="322"/>
      <c r="G809" s="366"/>
    </row>
    <row r="810" spans="1:7" s="32" customFormat="1" x14ac:dyDescent="0.25">
      <c r="A810" s="315"/>
      <c r="B810" s="315"/>
      <c r="C810" s="326"/>
      <c r="D810" s="315"/>
      <c r="E810" s="321"/>
      <c r="F810" s="322"/>
      <c r="G810" s="366"/>
    </row>
    <row r="811" spans="1:7" s="32" customFormat="1" x14ac:dyDescent="0.25">
      <c r="A811" s="315"/>
      <c r="B811" s="315"/>
      <c r="C811" s="326"/>
      <c r="D811" s="315"/>
      <c r="E811" s="321"/>
      <c r="F811" s="322"/>
      <c r="G811" s="366"/>
    </row>
    <row r="812" spans="1:7" s="32" customFormat="1" x14ac:dyDescent="0.25">
      <c r="A812" s="315"/>
      <c r="B812" s="315"/>
      <c r="C812" s="326"/>
      <c r="D812" s="315"/>
      <c r="E812" s="321"/>
      <c r="F812" s="322"/>
      <c r="G812" s="366"/>
    </row>
    <row r="813" spans="1:7" s="32" customFormat="1" x14ac:dyDescent="0.25">
      <c r="A813" s="315"/>
      <c r="B813" s="315"/>
      <c r="C813" s="326"/>
      <c r="D813" s="315"/>
      <c r="E813" s="321"/>
      <c r="F813" s="322"/>
      <c r="G813" s="366"/>
    </row>
    <row r="814" spans="1:7" s="32" customFormat="1" x14ac:dyDescent="0.25">
      <c r="A814" s="315"/>
      <c r="B814" s="315"/>
      <c r="C814" s="326"/>
      <c r="D814" s="315"/>
      <c r="E814" s="321"/>
      <c r="F814" s="322"/>
      <c r="G814" s="366"/>
    </row>
    <row r="815" spans="1:7" s="32" customFormat="1" x14ac:dyDescent="0.25">
      <c r="A815" s="315"/>
      <c r="B815" s="315"/>
      <c r="C815" s="326"/>
      <c r="D815" s="315"/>
      <c r="E815" s="321"/>
      <c r="F815" s="322"/>
      <c r="G815" s="366"/>
    </row>
    <row r="816" spans="1:7" s="32" customFormat="1" x14ac:dyDescent="0.25">
      <c r="A816" s="315"/>
      <c r="B816" s="315"/>
      <c r="C816" s="326"/>
      <c r="D816" s="315"/>
      <c r="E816" s="321"/>
      <c r="F816" s="322"/>
      <c r="G816" s="366"/>
    </row>
    <row r="817" spans="1:7" s="32" customFormat="1" x14ac:dyDescent="0.25">
      <c r="A817" s="315"/>
      <c r="B817" s="315"/>
      <c r="C817" s="326"/>
      <c r="D817" s="315"/>
      <c r="E817" s="321"/>
      <c r="F817" s="322"/>
      <c r="G817" s="366"/>
    </row>
    <row r="818" spans="1:7" s="32" customFormat="1" x14ac:dyDescent="0.25">
      <c r="A818" s="315"/>
      <c r="B818" s="315"/>
      <c r="C818" s="326"/>
      <c r="D818" s="315"/>
      <c r="E818" s="321"/>
      <c r="F818" s="322"/>
      <c r="G818" s="366"/>
    </row>
    <row r="819" spans="1:7" s="32" customFormat="1" x14ac:dyDescent="0.25">
      <c r="A819" s="315"/>
      <c r="B819" s="315"/>
      <c r="C819" s="326"/>
      <c r="D819" s="315"/>
      <c r="E819" s="321"/>
      <c r="F819" s="322"/>
      <c r="G819" s="366"/>
    </row>
    <row r="820" spans="1:7" s="32" customFormat="1" x14ac:dyDescent="0.25">
      <c r="A820" s="315"/>
      <c r="B820" s="315"/>
      <c r="C820" s="326"/>
      <c r="D820" s="315"/>
      <c r="E820" s="321"/>
      <c r="F820" s="322"/>
      <c r="G820" s="366"/>
    </row>
    <row r="821" spans="1:7" s="32" customFormat="1" x14ac:dyDescent="0.25">
      <c r="A821" s="315"/>
      <c r="B821" s="315"/>
      <c r="C821" s="326"/>
      <c r="D821" s="315"/>
      <c r="E821" s="321"/>
      <c r="F821" s="322"/>
      <c r="G821" s="366"/>
    </row>
    <row r="822" spans="1:7" s="32" customFormat="1" x14ac:dyDescent="0.25">
      <c r="A822" s="315"/>
      <c r="B822" s="315"/>
      <c r="C822" s="326"/>
      <c r="D822" s="315"/>
      <c r="E822" s="321"/>
      <c r="F822" s="322"/>
      <c r="G822" s="366"/>
    </row>
    <row r="823" spans="1:7" s="32" customFormat="1" x14ac:dyDescent="0.25">
      <c r="A823" s="315"/>
      <c r="B823" s="315"/>
      <c r="C823" s="326"/>
      <c r="D823" s="315"/>
      <c r="E823" s="321"/>
      <c r="F823" s="322"/>
      <c r="G823" s="366"/>
    </row>
    <row r="824" spans="1:7" s="32" customFormat="1" x14ac:dyDescent="0.25">
      <c r="A824" s="315"/>
      <c r="B824" s="315"/>
      <c r="C824" s="326"/>
      <c r="D824" s="315"/>
      <c r="E824" s="321"/>
      <c r="F824" s="322"/>
      <c r="G824" s="366"/>
    </row>
    <row r="825" spans="1:7" s="32" customFormat="1" x14ac:dyDescent="0.25">
      <c r="A825" s="315"/>
      <c r="B825" s="315"/>
      <c r="C825" s="326"/>
      <c r="D825" s="315"/>
      <c r="E825" s="321"/>
      <c r="F825" s="322"/>
      <c r="G825" s="366"/>
    </row>
    <row r="826" spans="1:7" s="32" customFormat="1" x14ac:dyDescent="0.25">
      <c r="A826" s="315"/>
      <c r="B826" s="315"/>
      <c r="C826" s="326"/>
      <c r="D826" s="315"/>
      <c r="E826" s="321"/>
      <c r="F826" s="322"/>
      <c r="G826" s="366"/>
    </row>
    <row r="827" spans="1:7" s="32" customFormat="1" x14ac:dyDescent="0.25">
      <c r="A827" s="315"/>
      <c r="B827" s="315"/>
      <c r="C827" s="326"/>
      <c r="D827" s="315"/>
      <c r="E827" s="321"/>
      <c r="F827" s="322"/>
      <c r="G827" s="366"/>
    </row>
    <row r="828" spans="1:7" s="32" customFormat="1" x14ac:dyDescent="0.25">
      <c r="A828" s="315"/>
      <c r="B828" s="315"/>
      <c r="C828" s="326"/>
      <c r="D828" s="315"/>
      <c r="E828" s="321"/>
      <c r="F828" s="322"/>
      <c r="G828" s="366"/>
    </row>
    <row r="829" spans="1:7" s="32" customFormat="1" x14ac:dyDescent="0.25">
      <c r="A829" s="315"/>
      <c r="B829" s="315"/>
      <c r="C829" s="326"/>
      <c r="D829" s="315"/>
      <c r="E829" s="321"/>
      <c r="F829" s="322"/>
      <c r="G829" s="366"/>
    </row>
    <row r="830" spans="1:7" s="32" customFormat="1" x14ac:dyDescent="0.25">
      <c r="A830" s="315"/>
      <c r="B830" s="315"/>
      <c r="C830" s="326"/>
      <c r="D830" s="315"/>
      <c r="E830" s="321"/>
      <c r="F830" s="322"/>
      <c r="G830" s="366"/>
    </row>
    <row r="831" spans="1:7" s="32" customFormat="1" x14ac:dyDescent="0.25">
      <c r="A831" s="315"/>
      <c r="B831" s="315"/>
      <c r="C831" s="326"/>
      <c r="D831" s="315"/>
      <c r="E831" s="321"/>
      <c r="F831" s="322"/>
      <c r="G831" s="366"/>
    </row>
    <row r="832" spans="1:7" s="32" customFormat="1" x14ac:dyDescent="0.25">
      <c r="A832" s="315"/>
      <c r="B832" s="315"/>
      <c r="C832" s="326"/>
      <c r="D832" s="315"/>
      <c r="E832" s="321"/>
      <c r="F832" s="322"/>
      <c r="G832" s="366"/>
    </row>
    <row r="833" spans="1:7" s="32" customFormat="1" x14ac:dyDescent="0.25">
      <c r="A833" s="315"/>
      <c r="B833" s="315"/>
      <c r="C833" s="326"/>
      <c r="D833" s="315"/>
      <c r="E833" s="321"/>
      <c r="F833" s="322"/>
      <c r="G833" s="366"/>
    </row>
    <row r="834" spans="1:7" s="32" customFormat="1" x14ac:dyDescent="0.25">
      <c r="A834" s="315"/>
      <c r="B834" s="315"/>
      <c r="C834" s="326"/>
      <c r="D834" s="315"/>
      <c r="E834" s="321"/>
      <c r="F834" s="322"/>
      <c r="G834" s="366"/>
    </row>
    <row r="835" spans="1:7" s="32" customFormat="1" x14ac:dyDescent="0.25">
      <c r="A835" s="315"/>
      <c r="B835" s="315"/>
      <c r="C835" s="326"/>
      <c r="D835" s="315"/>
      <c r="E835" s="321"/>
      <c r="F835" s="322"/>
      <c r="G835" s="366"/>
    </row>
    <row r="836" spans="1:7" s="32" customFormat="1" x14ac:dyDescent="0.25">
      <c r="A836" s="315"/>
      <c r="B836" s="315"/>
      <c r="C836" s="326"/>
      <c r="D836" s="315"/>
      <c r="E836" s="321"/>
      <c r="F836" s="322"/>
      <c r="G836" s="366"/>
    </row>
    <row r="837" spans="1:7" s="32" customFormat="1" x14ac:dyDescent="0.25">
      <c r="A837" s="315"/>
      <c r="B837" s="315"/>
      <c r="C837" s="326"/>
      <c r="D837" s="315"/>
      <c r="E837" s="321"/>
      <c r="F837" s="322"/>
      <c r="G837" s="366"/>
    </row>
    <row r="838" spans="1:7" s="32" customFormat="1" x14ac:dyDescent="0.25">
      <c r="A838" s="315"/>
      <c r="B838" s="315"/>
      <c r="C838" s="326"/>
      <c r="D838" s="315"/>
      <c r="E838" s="321"/>
      <c r="F838" s="322"/>
      <c r="G838" s="366"/>
    </row>
    <row r="839" spans="1:7" s="32" customFormat="1" x14ac:dyDescent="0.25">
      <c r="A839" s="315"/>
      <c r="B839" s="315"/>
      <c r="C839" s="326"/>
      <c r="D839" s="315"/>
      <c r="E839" s="321"/>
      <c r="F839" s="322"/>
      <c r="G839" s="366"/>
    </row>
    <row r="840" spans="1:7" s="32" customFormat="1" x14ac:dyDescent="0.25">
      <c r="A840" s="315"/>
      <c r="B840" s="315"/>
      <c r="C840" s="326"/>
      <c r="D840" s="315"/>
      <c r="E840" s="321"/>
      <c r="F840" s="322"/>
      <c r="G840" s="366"/>
    </row>
    <row r="841" spans="1:7" s="32" customFormat="1" x14ac:dyDescent="0.25">
      <c r="A841" s="315"/>
      <c r="B841" s="315"/>
      <c r="C841" s="326"/>
      <c r="D841" s="315"/>
      <c r="E841" s="321"/>
      <c r="F841" s="322"/>
      <c r="G841" s="366"/>
    </row>
    <row r="842" spans="1:7" s="32" customFormat="1" x14ac:dyDescent="0.25">
      <c r="A842" s="315"/>
      <c r="B842" s="315"/>
      <c r="C842" s="326"/>
      <c r="D842" s="315"/>
      <c r="E842" s="321"/>
      <c r="F842" s="322"/>
      <c r="G842" s="366"/>
    </row>
    <row r="843" spans="1:7" s="32" customFormat="1" x14ac:dyDescent="0.25">
      <c r="A843" s="315"/>
      <c r="B843" s="315"/>
      <c r="C843" s="326"/>
      <c r="D843" s="315"/>
      <c r="E843" s="321"/>
      <c r="F843" s="322"/>
      <c r="G843" s="366"/>
    </row>
    <row r="844" spans="1:7" s="32" customFormat="1" x14ac:dyDescent="0.25">
      <c r="A844" s="315"/>
      <c r="B844" s="315"/>
      <c r="C844" s="326"/>
      <c r="D844" s="315"/>
      <c r="E844" s="321"/>
      <c r="F844" s="322"/>
      <c r="G844" s="366"/>
    </row>
    <row r="845" spans="1:7" s="32" customFormat="1" x14ac:dyDescent="0.25">
      <c r="A845" s="315"/>
      <c r="B845" s="315"/>
      <c r="C845" s="326"/>
      <c r="D845" s="315"/>
      <c r="E845" s="321"/>
      <c r="F845" s="322"/>
      <c r="G845" s="366"/>
    </row>
    <row r="846" spans="1:7" s="32" customFormat="1" x14ac:dyDescent="0.25">
      <c r="A846" s="315"/>
      <c r="B846" s="315"/>
      <c r="C846" s="326"/>
      <c r="D846" s="315"/>
      <c r="E846" s="321"/>
      <c r="F846" s="322"/>
      <c r="G846" s="366"/>
    </row>
    <row r="847" spans="1:7" s="32" customFormat="1" x14ac:dyDescent="0.25">
      <c r="A847" s="315"/>
      <c r="B847" s="315"/>
      <c r="C847" s="326"/>
      <c r="D847" s="315"/>
      <c r="E847" s="321"/>
      <c r="F847" s="322"/>
      <c r="G847" s="366"/>
    </row>
    <row r="848" spans="1:7" s="32" customFormat="1" x14ac:dyDescent="0.25">
      <c r="A848" s="315"/>
      <c r="B848" s="315"/>
      <c r="C848" s="326"/>
      <c r="D848" s="315"/>
      <c r="E848" s="321"/>
      <c r="F848" s="322"/>
      <c r="G848" s="366"/>
    </row>
    <row r="849" spans="1:7" s="32" customFormat="1" x14ac:dyDescent="0.25">
      <c r="A849" s="315"/>
      <c r="B849" s="315"/>
      <c r="C849" s="326"/>
      <c r="D849" s="315"/>
      <c r="E849" s="321"/>
      <c r="F849" s="322"/>
      <c r="G849" s="366"/>
    </row>
    <row r="850" spans="1:7" s="32" customFormat="1" x14ac:dyDescent="0.25">
      <c r="A850" s="315"/>
      <c r="B850" s="315"/>
      <c r="C850" s="326"/>
      <c r="D850" s="315"/>
      <c r="E850" s="321"/>
      <c r="F850" s="322"/>
      <c r="G850" s="366"/>
    </row>
    <row r="851" spans="1:7" s="32" customFormat="1" x14ac:dyDescent="0.25">
      <c r="A851" s="315"/>
      <c r="B851" s="315"/>
      <c r="C851" s="326"/>
      <c r="D851" s="315"/>
      <c r="E851" s="321"/>
      <c r="F851" s="322"/>
      <c r="G851" s="366"/>
    </row>
    <row r="852" spans="1:7" s="32" customFormat="1" x14ac:dyDescent="0.25">
      <c r="A852" s="315"/>
      <c r="B852" s="315"/>
      <c r="C852" s="326"/>
      <c r="D852" s="315"/>
      <c r="E852" s="321"/>
      <c r="F852" s="322"/>
      <c r="G852" s="366"/>
    </row>
    <row r="853" spans="1:7" s="32" customFormat="1" x14ac:dyDescent="0.25">
      <c r="A853" s="315"/>
      <c r="B853" s="315"/>
      <c r="C853" s="326"/>
      <c r="D853" s="315"/>
      <c r="E853" s="321"/>
      <c r="F853" s="322"/>
      <c r="G853" s="366"/>
    </row>
    <row r="854" spans="1:7" s="32" customFormat="1" x14ac:dyDescent="0.25">
      <c r="A854" s="315"/>
      <c r="B854" s="315"/>
      <c r="C854" s="326"/>
      <c r="D854" s="315"/>
      <c r="E854" s="321"/>
      <c r="F854" s="322"/>
      <c r="G854" s="366"/>
    </row>
    <row r="855" spans="1:7" s="32" customFormat="1" x14ac:dyDescent="0.25">
      <c r="A855" s="315"/>
      <c r="B855" s="315"/>
      <c r="C855" s="326"/>
      <c r="D855" s="315"/>
      <c r="E855" s="321"/>
      <c r="F855" s="322"/>
      <c r="G855" s="366"/>
    </row>
    <row r="856" spans="1:7" s="32" customFormat="1" x14ac:dyDescent="0.25">
      <c r="A856" s="315"/>
      <c r="B856" s="315"/>
      <c r="C856" s="326"/>
      <c r="D856" s="315"/>
      <c r="E856" s="321"/>
      <c r="F856" s="322"/>
      <c r="G856" s="366"/>
    </row>
    <row r="857" spans="1:7" s="32" customFormat="1" x14ac:dyDescent="0.25">
      <c r="A857" s="315"/>
      <c r="B857" s="315"/>
      <c r="C857" s="326"/>
      <c r="D857" s="315"/>
      <c r="E857" s="321"/>
      <c r="F857" s="322"/>
      <c r="G857" s="366"/>
    </row>
    <row r="858" spans="1:7" s="32" customFormat="1" x14ac:dyDescent="0.25">
      <c r="A858" s="315"/>
      <c r="B858" s="315"/>
      <c r="C858" s="326"/>
      <c r="D858" s="315"/>
      <c r="E858" s="321"/>
      <c r="F858" s="322"/>
      <c r="G858" s="366"/>
    </row>
    <row r="859" spans="1:7" s="32" customFormat="1" x14ac:dyDescent="0.25">
      <c r="A859" s="315"/>
      <c r="B859" s="315"/>
      <c r="C859" s="326"/>
      <c r="D859" s="315"/>
      <c r="E859" s="321"/>
      <c r="F859" s="322"/>
      <c r="G859" s="366"/>
    </row>
    <row r="860" spans="1:7" s="32" customFormat="1" x14ac:dyDescent="0.25">
      <c r="A860" s="315"/>
      <c r="B860" s="315"/>
      <c r="C860" s="326"/>
      <c r="D860" s="315"/>
      <c r="E860" s="321"/>
      <c r="F860" s="322"/>
      <c r="G860" s="366"/>
    </row>
    <row r="861" spans="1:7" s="32" customFormat="1" x14ac:dyDescent="0.25">
      <c r="A861" s="315"/>
      <c r="B861" s="315"/>
      <c r="C861" s="326"/>
      <c r="D861" s="315"/>
      <c r="E861" s="321"/>
      <c r="F861" s="322"/>
      <c r="G861" s="366"/>
    </row>
    <row r="862" spans="1:7" s="32" customFormat="1" x14ac:dyDescent="0.25">
      <c r="A862" s="315"/>
      <c r="B862" s="315"/>
      <c r="C862" s="326"/>
      <c r="D862" s="315"/>
      <c r="E862" s="321"/>
      <c r="F862" s="322"/>
      <c r="G862" s="366"/>
    </row>
    <row r="863" spans="1:7" s="32" customFormat="1" x14ac:dyDescent="0.25">
      <c r="A863" s="315"/>
      <c r="B863" s="315"/>
      <c r="C863" s="326"/>
      <c r="D863" s="315"/>
      <c r="E863" s="321"/>
      <c r="F863" s="322"/>
      <c r="G863" s="366"/>
    </row>
    <row r="864" spans="1:7" s="32" customFormat="1" x14ac:dyDescent="0.25">
      <c r="A864" s="315"/>
      <c r="B864" s="315"/>
      <c r="C864" s="326"/>
      <c r="D864" s="315"/>
      <c r="E864" s="321"/>
      <c r="F864" s="322"/>
      <c r="G864" s="366"/>
    </row>
    <row r="865" spans="1:7" s="32" customFormat="1" x14ac:dyDescent="0.25">
      <c r="A865" s="315"/>
      <c r="B865" s="315"/>
      <c r="C865" s="326"/>
      <c r="D865" s="315"/>
      <c r="E865" s="321"/>
      <c r="F865" s="322"/>
      <c r="G865" s="366"/>
    </row>
    <row r="866" spans="1:7" s="32" customFormat="1" x14ac:dyDescent="0.25">
      <c r="A866" s="315"/>
      <c r="B866" s="315"/>
      <c r="C866" s="326"/>
      <c r="D866" s="315"/>
      <c r="E866" s="321"/>
      <c r="F866" s="322"/>
      <c r="G866" s="366"/>
    </row>
    <row r="867" spans="1:7" s="32" customFormat="1" x14ac:dyDescent="0.25">
      <c r="A867" s="315"/>
      <c r="B867" s="315"/>
      <c r="C867" s="326"/>
      <c r="D867" s="315"/>
      <c r="E867" s="321"/>
      <c r="F867" s="322"/>
      <c r="G867" s="366"/>
    </row>
    <row r="868" spans="1:7" s="32" customFormat="1" x14ac:dyDescent="0.25">
      <c r="A868" s="315"/>
      <c r="B868" s="315"/>
      <c r="C868" s="326"/>
      <c r="D868" s="315"/>
      <c r="E868" s="321"/>
      <c r="F868" s="322"/>
      <c r="G868" s="366"/>
    </row>
    <row r="869" spans="1:7" s="32" customFormat="1" x14ac:dyDescent="0.25">
      <c r="A869" s="315"/>
      <c r="B869" s="315"/>
      <c r="C869" s="326"/>
      <c r="D869" s="315"/>
      <c r="E869" s="321"/>
      <c r="F869" s="322"/>
      <c r="G869" s="366"/>
    </row>
    <row r="870" spans="1:7" s="32" customFormat="1" x14ac:dyDescent="0.25">
      <c r="A870" s="315"/>
      <c r="B870" s="315"/>
      <c r="C870" s="326"/>
      <c r="D870" s="315"/>
      <c r="E870" s="321"/>
      <c r="F870" s="322"/>
      <c r="G870" s="366"/>
    </row>
    <row r="871" spans="1:7" s="32" customFormat="1" x14ac:dyDescent="0.25">
      <c r="A871" s="315"/>
      <c r="B871" s="315"/>
      <c r="C871" s="326"/>
      <c r="D871" s="315"/>
      <c r="E871" s="321"/>
      <c r="F871" s="322"/>
      <c r="G871" s="366"/>
    </row>
    <row r="872" spans="1:7" s="32" customFormat="1" x14ac:dyDescent="0.25">
      <c r="A872" s="315"/>
      <c r="B872" s="315"/>
      <c r="C872" s="326"/>
      <c r="D872" s="315"/>
      <c r="E872" s="321"/>
      <c r="F872" s="322"/>
      <c r="G872" s="366"/>
    </row>
    <row r="873" spans="1:7" s="32" customFormat="1" x14ac:dyDescent="0.25">
      <c r="A873" s="315"/>
      <c r="B873" s="315"/>
      <c r="C873" s="326"/>
      <c r="D873" s="315"/>
      <c r="E873" s="321"/>
      <c r="F873" s="322"/>
      <c r="G873" s="366"/>
    </row>
    <row r="874" spans="1:7" s="32" customFormat="1" x14ac:dyDescent="0.25">
      <c r="A874" s="315"/>
      <c r="B874" s="315"/>
      <c r="C874" s="326"/>
      <c r="D874" s="315"/>
      <c r="E874" s="321"/>
      <c r="F874" s="322"/>
      <c r="G874" s="366"/>
    </row>
    <row r="875" spans="1:7" s="32" customFormat="1" x14ac:dyDescent="0.25">
      <c r="A875" s="315"/>
      <c r="B875" s="315"/>
      <c r="C875" s="326"/>
      <c r="D875" s="315"/>
      <c r="E875" s="321"/>
      <c r="F875" s="322"/>
      <c r="G875" s="366"/>
    </row>
    <row r="876" spans="1:7" s="32" customFormat="1" x14ac:dyDescent="0.25">
      <c r="A876" s="315"/>
      <c r="B876" s="315"/>
      <c r="C876" s="326"/>
      <c r="D876" s="315"/>
      <c r="E876" s="321"/>
      <c r="F876" s="322"/>
      <c r="G876" s="366"/>
    </row>
    <row r="877" spans="1:7" s="32" customFormat="1" x14ac:dyDescent="0.25">
      <c r="A877" s="315"/>
      <c r="B877" s="315"/>
      <c r="C877" s="326"/>
      <c r="D877" s="315"/>
      <c r="E877" s="321"/>
      <c r="F877" s="322"/>
      <c r="G877" s="366"/>
    </row>
    <row r="878" spans="1:7" s="32" customFormat="1" x14ac:dyDescent="0.25">
      <c r="A878" s="315"/>
      <c r="B878" s="315"/>
      <c r="C878" s="326"/>
      <c r="D878" s="315"/>
      <c r="E878" s="321"/>
      <c r="F878" s="322"/>
      <c r="G878" s="366"/>
    </row>
    <row r="879" spans="1:7" s="32" customFormat="1" x14ac:dyDescent="0.25">
      <c r="A879" s="315"/>
      <c r="B879" s="315"/>
      <c r="C879" s="326"/>
      <c r="D879" s="315"/>
      <c r="E879" s="321"/>
      <c r="F879" s="322"/>
      <c r="G879" s="366"/>
    </row>
    <row r="880" spans="1:7" s="32" customFormat="1" x14ac:dyDescent="0.25">
      <c r="A880" s="315"/>
      <c r="B880" s="315"/>
      <c r="C880" s="326"/>
      <c r="D880" s="315"/>
      <c r="E880" s="321"/>
      <c r="F880" s="322"/>
      <c r="G880" s="366"/>
    </row>
    <row r="881" spans="1:7" s="32" customFormat="1" x14ac:dyDescent="0.25">
      <c r="A881" s="315"/>
      <c r="B881" s="315"/>
      <c r="C881" s="326"/>
      <c r="D881" s="315"/>
      <c r="E881" s="321"/>
      <c r="F881" s="322"/>
      <c r="G881" s="366"/>
    </row>
    <row r="882" spans="1:7" s="32" customFormat="1" x14ac:dyDescent="0.25">
      <c r="A882" s="315"/>
      <c r="B882" s="315"/>
      <c r="C882" s="326"/>
      <c r="D882" s="315"/>
      <c r="E882" s="321"/>
      <c r="F882" s="322"/>
      <c r="G882" s="366"/>
    </row>
    <row r="883" spans="1:7" s="32" customFormat="1" x14ac:dyDescent="0.25">
      <c r="A883" s="315"/>
      <c r="B883" s="315"/>
      <c r="C883" s="326"/>
      <c r="D883" s="315"/>
      <c r="E883" s="321"/>
      <c r="F883" s="322"/>
      <c r="G883" s="366"/>
    </row>
    <row r="884" spans="1:7" s="32" customFormat="1" x14ac:dyDescent="0.25">
      <c r="A884" s="315"/>
      <c r="B884" s="315"/>
      <c r="C884" s="326"/>
      <c r="D884" s="315"/>
      <c r="E884" s="321"/>
      <c r="F884" s="322"/>
      <c r="G884" s="366"/>
    </row>
    <row r="885" spans="1:7" s="32" customFormat="1" x14ac:dyDescent="0.25">
      <c r="A885" s="315"/>
      <c r="B885" s="315"/>
      <c r="C885" s="326"/>
      <c r="D885" s="315"/>
      <c r="E885" s="321"/>
      <c r="F885" s="322"/>
      <c r="G885" s="366"/>
    </row>
    <row r="886" spans="1:7" s="32" customFormat="1" x14ac:dyDescent="0.25">
      <c r="A886" s="315"/>
      <c r="B886" s="315"/>
      <c r="C886" s="326"/>
      <c r="D886" s="315"/>
      <c r="E886" s="321"/>
      <c r="F886" s="322"/>
      <c r="G886" s="366"/>
    </row>
    <row r="887" spans="1:7" s="32" customFormat="1" x14ac:dyDescent="0.25">
      <c r="A887" s="315"/>
      <c r="B887" s="315"/>
      <c r="C887" s="326"/>
      <c r="D887" s="315"/>
      <c r="E887" s="321"/>
      <c r="F887" s="322"/>
      <c r="G887" s="366"/>
    </row>
    <row r="888" spans="1:7" s="32" customFormat="1" x14ac:dyDescent="0.25">
      <c r="A888" s="315"/>
      <c r="B888" s="315"/>
      <c r="C888" s="326"/>
      <c r="D888" s="315"/>
      <c r="E888" s="321"/>
      <c r="F888" s="322"/>
      <c r="G888" s="366"/>
    </row>
    <row r="889" spans="1:7" s="32" customFormat="1" x14ac:dyDescent="0.25">
      <c r="A889" s="315"/>
      <c r="B889" s="315"/>
      <c r="C889" s="326"/>
      <c r="D889" s="315"/>
      <c r="E889" s="321"/>
      <c r="F889" s="322"/>
      <c r="G889" s="366"/>
    </row>
    <row r="890" spans="1:7" s="32" customFormat="1" x14ac:dyDescent="0.25">
      <c r="A890" s="315"/>
      <c r="B890" s="315"/>
      <c r="C890" s="326"/>
      <c r="D890" s="315"/>
      <c r="E890" s="321"/>
      <c r="F890" s="322"/>
      <c r="G890" s="366"/>
    </row>
    <row r="891" spans="1:7" s="32" customFormat="1" x14ac:dyDescent="0.25">
      <c r="A891" s="315"/>
      <c r="B891" s="315"/>
      <c r="C891" s="326"/>
      <c r="D891" s="315"/>
      <c r="E891" s="321"/>
      <c r="F891" s="322"/>
      <c r="G891" s="366"/>
    </row>
    <row r="892" spans="1:7" s="32" customFormat="1" x14ac:dyDescent="0.25">
      <c r="A892" s="315"/>
      <c r="B892" s="315"/>
      <c r="C892" s="326"/>
      <c r="D892" s="315"/>
      <c r="E892" s="321"/>
      <c r="F892" s="322"/>
      <c r="G892" s="366"/>
    </row>
    <row r="893" spans="1:7" s="32" customFormat="1" x14ac:dyDescent="0.25">
      <c r="A893" s="315"/>
      <c r="B893" s="315"/>
      <c r="C893" s="326"/>
      <c r="D893" s="315"/>
      <c r="E893" s="321"/>
      <c r="F893" s="322"/>
      <c r="G893" s="366"/>
    </row>
    <row r="894" spans="1:7" s="32" customFormat="1" x14ac:dyDescent="0.25">
      <c r="A894" s="315"/>
      <c r="B894" s="315"/>
      <c r="C894" s="326"/>
      <c r="D894" s="315"/>
      <c r="E894" s="321"/>
      <c r="F894" s="322"/>
      <c r="G894" s="366"/>
    </row>
    <row r="895" spans="1:7" s="32" customFormat="1" x14ac:dyDescent="0.25">
      <c r="A895" s="315"/>
      <c r="B895" s="315"/>
      <c r="C895" s="326"/>
      <c r="D895" s="315"/>
      <c r="E895" s="321"/>
      <c r="F895" s="322"/>
      <c r="G895" s="366"/>
    </row>
    <row r="896" spans="1:7" s="32" customFormat="1" x14ac:dyDescent="0.25">
      <c r="A896" s="315"/>
      <c r="B896" s="315"/>
      <c r="C896" s="326"/>
      <c r="D896" s="315"/>
      <c r="E896" s="321"/>
      <c r="F896" s="322"/>
      <c r="G896" s="366"/>
    </row>
    <row r="897" spans="1:7" s="32" customFormat="1" x14ac:dyDescent="0.25">
      <c r="A897" s="315"/>
      <c r="B897" s="315"/>
      <c r="C897" s="326"/>
      <c r="D897" s="315"/>
      <c r="E897" s="321"/>
      <c r="F897" s="322"/>
      <c r="G897" s="366"/>
    </row>
    <row r="898" spans="1:7" s="32" customFormat="1" x14ac:dyDescent="0.25">
      <c r="A898" s="315"/>
      <c r="B898" s="315"/>
      <c r="C898" s="326"/>
      <c r="D898" s="315"/>
      <c r="E898" s="321"/>
      <c r="F898" s="322"/>
      <c r="G898" s="366"/>
    </row>
    <row r="899" spans="1:7" s="32" customFormat="1" x14ac:dyDescent="0.25">
      <c r="A899" s="315"/>
      <c r="B899" s="315"/>
      <c r="C899" s="326"/>
      <c r="D899" s="315"/>
      <c r="E899" s="321"/>
      <c r="F899" s="322"/>
      <c r="G899" s="366"/>
    </row>
    <row r="900" spans="1:7" s="32" customFormat="1" x14ac:dyDescent="0.25">
      <c r="A900" s="315"/>
      <c r="B900" s="315"/>
      <c r="C900" s="326"/>
      <c r="D900" s="315"/>
      <c r="E900" s="321"/>
      <c r="F900" s="322"/>
      <c r="G900" s="366"/>
    </row>
    <row r="901" spans="1:7" s="32" customFormat="1" x14ac:dyDescent="0.25">
      <c r="A901" s="315"/>
      <c r="B901" s="315"/>
      <c r="C901" s="326"/>
      <c r="D901" s="315"/>
      <c r="E901" s="321"/>
      <c r="F901" s="322"/>
      <c r="G901" s="366"/>
    </row>
    <row r="902" spans="1:7" s="32" customFormat="1" x14ac:dyDescent="0.25">
      <c r="A902" s="315"/>
      <c r="B902" s="315"/>
      <c r="C902" s="326"/>
      <c r="D902" s="315"/>
      <c r="E902" s="321"/>
      <c r="F902" s="322"/>
      <c r="G902" s="366"/>
    </row>
    <row r="903" spans="1:7" s="32" customFormat="1" x14ac:dyDescent="0.25">
      <c r="A903" s="315"/>
      <c r="B903" s="315"/>
      <c r="C903" s="326"/>
      <c r="D903" s="315"/>
      <c r="E903" s="321"/>
      <c r="F903" s="322"/>
      <c r="G903" s="366"/>
    </row>
    <row r="904" spans="1:7" s="32" customFormat="1" x14ac:dyDescent="0.25">
      <c r="A904" s="315"/>
      <c r="B904" s="315"/>
      <c r="C904" s="326"/>
      <c r="D904" s="315"/>
      <c r="E904" s="321"/>
      <c r="F904" s="322"/>
      <c r="G904" s="366"/>
    </row>
    <row r="905" spans="1:7" s="32" customFormat="1" x14ac:dyDescent="0.25">
      <c r="A905" s="315"/>
      <c r="B905" s="315"/>
      <c r="C905" s="326"/>
      <c r="D905" s="315"/>
      <c r="E905" s="321"/>
      <c r="F905" s="322"/>
      <c r="G905" s="366"/>
    </row>
    <row r="906" spans="1:7" s="32" customFormat="1" x14ac:dyDescent="0.25">
      <c r="A906" s="315"/>
      <c r="B906" s="315"/>
      <c r="C906" s="326"/>
      <c r="D906" s="315"/>
      <c r="E906" s="321"/>
      <c r="F906" s="322"/>
      <c r="G906" s="366"/>
    </row>
    <row r="907" spans="1:7" s="32" customFormat="1" x14ac:dyDescent="0.25">
      <c r="A907" s="315"/>
      <c r="B907" s="315"/>
      <c r="C907" s="326"/>
      <c r="D907" s="315"/>
      <c r="E907" s="321"/>
      <c r="F907" s="322"/>
      <c r="G907" s="366"/>
    </row>
    <row r="908" spans="1:7" s="32" customFormat="1" x14ac:dyDescent="0.25">
      <c r="A908" s="315"/>
      <c r="B908" s="315"/>
      <c r="C908" s="326"/>
      <c r="D908" s="315"/>
      <c r="E908" s="321"/>
      <c r="F908" s="322"/>
      <c r="G908" s="366"/>
    </row>
    <row r="909" spans="1:7" s="32" customFormat="1" x14ac:dyDescent="0.25">
      <c r="A909" s="315"/>
      <c r="B909" s="315"/>
      <c r="C909" s="326"/>
      <c r="D909" s="315"/>
      <c r="E909" s="321"/>
      <c r="F909" s="322"/>
      <c r="G909" s="366"/>
    </row>
    <row r="910" spans="1:7" s="32" customFormat="1" x14ac:dyDescent="0.25">
      <c r="A910" s="315"/>
      <c r="B910" s="315"/>
      <c r="C910" s="326"/>
      <c r="D910" s="315"/>
      <c r="E910" s="321"/>
      <c r="F910" s="322"/>
      <c r="G910" s="366"/>
    </row>
    <row r="911" spans="1:7" s="32" customFormat="1" x14ac:dyDescent="0.25">
      <c r="A911" s="315"/>
      <c r="B911" s="315"/>
      <c r="C911" s="326"/>
      <c r="D911" s="315"/>
      <c r="E911" s="321"/>
      <c r="F911" s="322"/>
      <c r="G911" s="366"/>
    </row>
    <row r="912" spans="1:7" s="32" customFormat="1" x14ac:dyDescent="0.25">
      <c r="A912" s="315"/>
      <c r="B912" s="315"/>
      <c r="C912" s="326"/>
      <c r="D912" s="315"/>
      <c r="E912" s="321"/>
      <c r="F912" s="322"/>
      <c r="G912" s="366"/>
    </row>
    <row r="913" spans="1:7" s="32" customFormat="1" x14ac:dyDescent="0.25">
      <c r="A913" s="315"/>
      <c r="B913" s="315"/>
      <c r="C913" s="326"/>
      <c r="D913" s="315"/>
      <c r="E913" s="321"/>
      <c r="F913" s="322"/>
      <c r="G913" s="366"/>
    </row>
    <row r="914" spans="1:7" s="32" customFormat="1" x14ac:dyDescent="0.25">
      <c r="A914" s="315"/>
      <c r="B914" s="315"/>
      <c r="C914" s="326"/>
      <c r="D914" s="315"/>
      <c r="E914" s="321"/>
      <c r="F914" s="322"/>
      <c r="G914" s="366"/>
    </row>
    <row r="915" spans="1:7" s="32" customFormat="1" x14ac:dyDescent="0.25">
      <c r="A915" s="315"/>
      <c r="B915" s="315"/>
      <c r="C915" s="326"/>
      <c r="D915" s="315"/>
      <c r="E915" s="321"/>
      <c r="F915" s="322"/>
      <c r="G915" s="366"/>
    </row>
    <row r="916" spans="1:7" s="32" customFormat="1" x14ac:dyDescent="0.25">
      <c r="A916" s="315"/>
      <c r="B916" s="315"/>
      <c r="C916" s="326"/>
      <c r="D916" s="315"/>
      <c r="E916" s="321"/>
      <c r="F916" s="322"/>
      <c r="G916" s="366"/>
    </row>
    <row r="917" spans="1:7" s="32" customFormat="1" x14ac:dyDescent="0.25">
      <c r="A917" s="315"/>
      <c r="B917" s="315"/>
      <c r="C917" s="326"/>
      <c r="D917" s="315"/>
      <c r="E917" s="321"/>
      <c r="F917" s="322"/>
      <c r="G917" s="366"/>
    </row>
    <row r="918" spans="1:7" s="32" customFormat="1" x14ac:dyDescent="0.25">
      <c r="A918" s="315"/>
      <c r="B918" s="315"/>
      <c r="C918" s="326"/>
      <c r="D918" s="315"/>
      <c r="E918" s="321"/>
      <c r="F918" s="322"/>
      <c r="G918" s="366"/>
    </row>
    <row r="919" spans="1:7" s="32" customFormat="1" x14ac:dyDescent="0.25">
      <c r="A919" s="315"/>
      <c r="B919" s="315"/>
      <c r="C919" s="326"/>
      <c r="D919" s="315"/>
      <c r="E919" s="321"/>
      <c r="F919" s="322"/>
      <c r="G919" s="366"/>
    </row>
    <row r="920" spans="1:7" s="32" customFormat="1" x14ac:dyDescent="0.25">
      <c r="A920" s="315"/>
      <c r="B920" s="315"/>
      <c r="C920" s="326"/>
      <c r="D920" s="315"/>
      <c r="E920" s="321"/>
      <c r="F920" s="322"/>
      <c r="G920" s="366"/>
    </row>
    <row r="921" spans="1:7" s="32" customFormat="1" x14ac:dyDescent="0.25">
      <c r="A921" s="315"/>
      <c r="B921" s="315"/>
      <c r="C921" s="326"/>
      <c r="D921" s="315"/>
      <c r="E921" s="321"/>
      <c r="F921" s="322"/>
      <c r="G921" s="366"/>
    </row>
    <row r="922" spans="1:7" s="32" customFormat="1" x14ac:dyDescent="0.25">
      <c r="A922" s="315"/>
      <c r="B922" s="315"/>
      <c r="C922" s="326"/>
      <c r="D922" s="315"/>
      <c r="E922" s="321"/>
      <c r="F922" s="322"/>
      <c r="G922" s="366"/>
    </row>
    <row r="923" spans="1:7" s="32" customFormat="1" x14ac:dyDescent="0.25">
      <c r="A923" s="315"/>
      <c r="B923" s="315"/>
      <c r="C923" s="326"/>
      <c r="D923" s="315"/>
      <c r="E923" s="321"/>
      <c r="F923" s="322"/>
      <c r="G923" s="366"/>
    </row>
    <row r="924" spans="1:7" s="32" customFormat="1" x14ac:dyDescent="0.25">
      <c r="A924" s="315"/>
      <c r="B924" s="315"/>
      <c r="C924" s="326"/>
      <c r="D924" s="315"/>
      <c r="E924" s="321"/>
      <c r="F924" s="322"/>
      <c r="G924" s="366"/>
    </row>
    <row r="925" spans="1:7" s="32" customFormat="1" x14ac:dyDescent="0.25">
      <c r="A925" s="315"/>
      <c r="B925" s="315"/>
      <c r="C925" s="326"/>
      <c r="D925" s="315"/>
      <c r="E925" s="321"/>
      <c r="F925" s="322"/>
      <c r="G925" s="366"/>
    </row>
    <row r="926" spans="1:7" s="32" customFormat="1" x14ac:dyDescent="0.25">
      <c r="A926" s="315"/>
      <c r="B926" s="315"/>
      <c r="C926" s="326"/>
      <c r="D926" s="315"/>
      <c r="E926" s="321"/>
      <c r="F926" s="322"/>
      <c r="G926" s="366"/>
    </row>
    <row r="927" spans="1:7" s="32" customFormat="1" x14ac:dyDescent="0.25">
      <c r="A927" s="315"/>
      <c r="B927" s="315"/>
      <c r="C927" s="326"/>
      <c r="D927" s="315"/>
      <c r="E927" s="321"/>
      <c r="F927" s="322"/>
      <c r="G927" s="366"/>
    </row>
    <row r="928" spans="1:7" s="32" customFormat="1" x14ac:dyDescent="0.25">
      <c r="A928" s="315"/>
      <c r="B928" s="315"/>
      <c r="C928" s="326"/>
      <c r="D928" s="315"/>
      <c r="E928" s="321"/>
      <c r="F928" s="322"/>
      <c r="G928" s="366"/>
    </row>
    <row r="929" spans="1:7" s="32" customFormat="1" x14ac:dyDescent="0.25">
      <c r="A929" s="315"/>
      <c r="B929" s="315"/>
      <c r="C929" s="326"/>
      <c r="D929" s="315"/>
      <c r="E929" s="321"/>
      <c r="F929" s="322"/>
      <c r="G929" s="366"/>
    </row>
    <row r="930" spans="1:7" s="32" customFormat="1" x14ac:dyDescent="0.25">
      <c r="A930" s="315"/>
      <c r="B930" s="315"/>
      <c r="C930" s="326"/>
      <c r="D930" s="315"/>
      <c r="E930" s="321"/>
      <c r="F930" s="322"/>
      <c r="G930" s="366"/>
    </row>
    <row r="931" spans="1:7" s="32" customFormat="1" x14ac:dyDescent="0.25">
      <c r="A931" s="315"/>
      <c r="B931" s="315"/>
      <c r="C931" s="326"/>
      <c r="D931" s="315"/>
      <c r="E931" s="321"/>
      <c r="F931" s="322"/>
      <c r="G931" s="366"/>
    </row>
    <row r="932" spans="1:7" s="32" customFormat="1" x14ac:dyDescent="0.25">
      <c r="A932" s="315"/>
      <c r="B932" s="315"/>
      <c r="C932" s="326"/>
      <c r="D932" s="315"/>
      <c r="E932" s="321"/>
      <c r="F932" s="322"/>
      <c r="G932" s="366"/>
    </row>
    <row r="933" spans="1:7" s="32" customFormat="1" x14ac:dyDescent="0.25">
      <c r="A933" s="315"/>
      <c r="B933" s="315"/>
      <c r="C933" s="326"/>
      <c r="D933" s="315"/>
      <c r="E933" s="321"/>
      <c r="F933" s="322"/>
      <c r="G933" s="366"/>
    </row>
    <row r="934" spans="1:7" s="32" customFormat="1" x14ac:dyDescent="0.25">
      <c r="A934" s="315"/>
      <c r="B934" s="315"/>
      <c r="C934" s="326"/>
      <c r="D934" s="315"/>
      <c r="E934" s="321"/>
      <c r="F934" s="322"/>
      <c r="G934" s="366"/>
    </row>
    <row r="935" spans="1:7" s="32" customFormat="1" x14ac:dyDescent="0.25">
      <c r="A935" s="315"/>
      <c r="B935" s="315"/>
      <c r="C935" s="326"/>
      <c r="D935" s="315"/>
      <c r="E935" s="321"/>
      <c r="F935" s="322"/>
      <c r="G935" s="366"/>
    </row>
    <row r="936" spans="1:7" s="32" customFormat="1" x14ac:dyDescent="0.25">
      <c r="A936" s="315"/>
      <c r="B936" s="315"/>
      <c r="C936" s="326"/>
      <c r="D936" s="315"/>
      <c r="E936" s="321"/>
      <c r="F936" s="322"/>
      <c r="G936" s="366"/>
    </row>
    <row r="937" spans="1:7" s="32" customFormat="1" x14ac:dyDescent="0.25">
      <c r="A937" s="315"/>
      <c r="B937" s="315"/>
      <c r="C937" s="326"/>
      <c r="D937" s="315"/>
      <c r="E937" s="321"/>
      <c r="F937" s="322"/>
      <c r="G937" s="366"/>
    </row>
    <row r="938" spans="1:7" s="32" customFormat="1" x14ac:dyDescent="0.25">
      <c r="A938" s="315"/>
      <c r="B938" s="315"/>
      <c r="C938" s="326"/>
      <c r="D938" s="315"/>
      <c r="E938" s="321"/>
      <c r="F938" s="322"/>
      <c r="G938" s="366"/>
    </row>
    <row r="939" spans="1:7" s="32" customFormat="1" x14ac:dyDescent="0.25">
      <c r="A939" s="315"/>
      <c r="B939" s="315"/>
      <c r="C939" s="326"/>
      <c r="D939" s="315"/>
      <c r="E939" s="321"/>
      <c r="F939" s="322"/>
      <c r="G939" s="366"/>
    </row>
    <row r="940" spans="1:7" s="32" customFormat="1" x14ac:dyDescent="0.25">
      <c r="A940" s="315"/>
      <c r="B940" s="315"/>
      <c r="C940" s="326"/>
      <c r="D940" s="315"/>
      <c r="E940" s="321"/>
      <c r="F940" s="322"/>
      <c r="G940" s="366"/>
    </row>
    <row r="941" spans="1:7" s="32" customFormat="1" x14ac:dyDescent="0.25">
      <c r="A941" s="315"/>
      <c r="B941" s="315"/>
      <c r="C941" s="326"/>
      <c r="D941" s="315"/>
      <c r="E941" s="321"/>
      <c r="F941" s="322"/>
      <c r="G941" s="366"/>
    </row>
    <row r="942" spans="1:7" s="32" customFormat="1" x14ac:dyDescent="0.25">
      <c r="A942" s="315"/>
      <c r="B942" s="315"/>
      <c r="C942" s="326"/>
      <c r="D942" s="315"/>
      <c r="E942" s="321"/>
      <c r="F942" s="322"/>
      <c r="G942" s="366"/>
    </row>
    <row r="943" spans="1:7" s="32" customFormat="1" x14ac:dyDescent="0.25">
      <c r="A943" s="315"/>
      <c r="B943" s="315"/>
      <c r="C943" s="326"/>
      <c r="D943" s="315"/>
      <c r="E943" s="321"/>
      <c r="F943" s="322"/>
      <c r="G943" s="366"/>
    </row>
    <row r="944" spans="1:7" s="32" customFormat="1" x14ac:dyDescent="0.25">
      <c r="A944" s="315"/>
      <c r="B944" s="315"/>
      <c r="C944" s="326"/>
      <c r="D944" s="315"/>
      <c r="E944" s="321"/>
      <c r="F944" s="322"/>
      <c r="G944" s="366"/>
    </row>
    <row r="945" spans="1:7" s="32" customFormat="1" x14ac:dyDescent="0.25">
      <c r="A945" s="315"/>
      <c r="B945" s="315"/>
      <c r="C945" s="326"/>
      <c r="D945" s="315"/>
      <c r="E945" s="321"/>
      <c r="F945" s="322"/>
      <c r="G945" s="366"/>
    </row>
    <row r="946" spans="1:7" s="32" customFormat="1" x14ac:dyDescent="0.25">
      <c r="A946" s="315"/>
      <c r="B946" s="315"/>
      <c r="C946" s="326"/>
      <c r="D946" s="315"/>
      <c r="E946" s="321"/>
      <c r="F946" s="322"/>
      <c r="G946" s="366"/>
    </row>
    <row r="947" spans="1:7" s="32" customFormat="1" x14ac:dyDescent="0.25">
      <c r="A947" s="315"/>
      <c r="B947" s="315"/>
      <c r="C947" s="326"/>
      <c r="D947" s="315"/>
      <c r="E947" s="321"/>
      <c r="F947" s="322"/>
      <c r="G947" s="366"/>
    </row>
    <row r="948" spans="1:7" s="32" customFormat="1" x14ac:dyDescent="0.25">
      <c r="A948" s="315"/>
      <c r="B948" s="315"/>
      <c r="C948" s="326"/>
      <c r="D948" s="315"/>
      <c r="E948" s="321"/>
      <c r="F948" s="322"/>
      <c r="G948" s="366"/>
    </row>
    <row r="949" spans="1:7" s="32" customFormat="1" x14ac:dyDescent="0.25">
      <c r="A949" s="315"/>
      <c r="B949" s="315"/>
      <c r="C949" s="326"/>
      <c r="D949" s="315"/>
      <c r="E949" s="321"/>
      <c r="F949" s="322"/>
      <c r="G949" s="366"/>
    </row>
    <row r="950" spans="1:7" s="32" customFormat="1" x14ac:dyDescent="0.25">
      <c r="A950" s="315"/>
      <c r="B950" s="315"/>
      <c r="C950" s="326"/>
      <c r="D950" s="315"/>
      <c r="E950" s="321"/>
      <c r="F950" s="322"/>
      <c r="G950" s="366"/>
    </row>
    <row r="951" spans="1:7" s="32" customFormat="1" x14ac:dyDescent="0.25">
      <c r="A951" s="315"/>
      <c r="B951" s="315"/>
      <c r="C951" s="326"/>
      <c r="D951" s="315"/>
      <c r="E951" s="321"/>
      <c r="F951" s="322"/>
      <c r="G951" s="366"/>
    </row>
    <row r="952" spans="1:7" s="32" customFormat="1" x14ac:dyDescent="0.25">
      <c r="A952" s="315"/>
      <c r="B952" s="315"/>
      <c r="C952" s="326"/>
      <c r="D952" s="315"/>
      <c r="E952" s="321"/>
      <c r="F952" s="322"/>
      <c r="G952" s="366"/>
    </row>
    <row r="953" spans="1:7" s="32" customFormat="1" x14ac:dyDescent="0.25">
      <c r="A953" s="315"/>
      <c r="B953" s="315"/>
      <c r="C953" s="326"/>
      <c r="D953" s="315"/>
      <c r="E953" s="321"/>
      <c r="F953" s="322"/>
      <c r="G953" s="366"/>
    </row>
    <row r="954" spans="1:7" s="32" customFormat="1" x14ac:dyDescent="0.25">
      <c r="A954" s="315"/>
      <c r="B954" s="315"/>
      <c r="C954" s="326"/>
      <c r="D954" s="315"/>
      <c r="E954" s="321"/>
      <c r="F954" s="322"/>
      <c r="G954" s="366"/>
    </row>
    <row r="955" spans="1:7" s="32" customFormat="1" x14ac:dyDescent="0.25">
      <c r="A955" s="315"/>
      <c r="B955" s="315"/>
      <c r="C955" s="326"/>
      <c r="D955" s="315"/>
      <c r="E955" s="321"/>
      <c r="F955" s="322"/>
      <c r="G955" s="366"/>
    </row>
    <row r="956" spans="1:7" s="32" customFormat="1" x14ac:dyDescent="0.25">
      <c r="A956" s="315"/>
      <c r="B956" s="315"/>
      <c r="C956" s="326"/>
      <c r="D956" s="315"/>
      <c r="E956" s="321"/>
      <c r="F956" s="322"/>
      <c r="G956" s="366"/>
    </row>
    <row r="957" spans="1:7" s="32" customFormat="1" x14ac:dyDescent="0.25">
      <c r="A957" s="315"/>
      <c r="B957" s="315"/>
      <c r="C957" s="326"/>
      <c r="D957" s="315"/>
      <c r="E957" s="321"/>
      <c r="F957" s="322"/>
      <c r="G957" s="366"/>
    </row>
    <row r="958" spans="1:7" s="32" customFormat="1" x14ac:dyDescent="0.25">
      <c r="A958" s="315"/>
      <c r="B958" s="315"/>
      <c r="C958" s="326"/>
      <c r="D958" s="315"/>
      <c r="E958" s="321"/>
      <c r="F958" s="322"/>
      <c r="G958" s="366"/>
    </row>
    <row r="959" spans="1:7" s="32" customFormat="1" x14ac:dyDescent="0.25">
      <c r="A959" s="315"/>
      <c r="B959" s="315"/>
      <c r="C959" s="326"/>
      <c r="D959" s="315"/>
      <c r="E959" s="321"/>
      <c r="F959" s="322"/>
      <c r="G959" s="366"/>
    </row>
    <row r="960" spans="1:7" s="32" customFormat="1" x14ac:dyDescent="0.25">
      <c r="A960" s="315"/>
      <c r="B960" s="315"/>
      <c r="C960" s="326"/>
      <c r="D960" s="315"/>
      <c r="E960" s="321"/>
      <c r="F960" s="322"/>
      <c r="G960" s="366"/>
    </row>
    <row r="961" spans="1:7" s="32" customFormat="1" x14ac:dyDescent="0.25">
      <c r="A961" s="315"/>
      <c r="B961" s="315"/>
      <c r="C961" s="326"/>
      <c r="D961" s="315"/>
      <c r="E961" s="321"/>
      <c r="F961" s="322"/>
      <c r="G961" s="366"/>
    </row>
    <row r="962" spans="1:7" s="32" customFormat="1" x14ac:dyDescent="0.25">
      <c r="A962" s="315"/>
      <c r="B962" s="315"/>
      <c r="C962" s="326"/>
      <c r="D962" s="315"/>
      <c r="E962" s="321"/>
      <c r="F962" s="322"/>
      <c r="G962" s="366"/>
    </row>
    <row r="963" spans="1:7" s="32" customFormat="1" x14ac:dyDescent="0.25">
      <c r="A963" s="315"/>
      <c r="B963" s="315"/>
      <c r="C963" s="326"/>
      <c r="D963" s="315"/>
      <c r="E963" s="321"/>
      <c r="F963" s="322"/>
      <c r="G963" s="366"/>
    </row>
    <row r="964" spans="1:7" s="32" customFormat="1" x14ac:dyDescent="0.25">
      <c r="A964" s="315"/>
      <c r="B964" s="315"/>
      <c r="C964" s="326"/>
      <c r="D964" s="315"/>
      <c r="E964" s="321"/>
      <c r="F964" s="322"/>
      <c r="G964" s="366"/>
    </row>
    <row r="965" spans="1:7" s="32" customFormat="1" x14ac:dyDescent="0.25">
      <c r="A965" s="315"/>
      <c r="B965" s="315"/>
      <c r="C965" s="326"/>
      <c r="D965" s="315"/>
      <c r="E965" s="321"/>
      <c r="F965" s="322"/>
      <c r="G965" s="366"/>
    </row>
    <row r="966" spans="1:7" s="32" customFormat="1" x14ac:dyDescent="0.25">
      <c r="A966" s="315"/>
      <c r="B966" s="315"/>
      <c r="C966" s="326"/>
      <c r="D966" s="315"/>
      <c r="E966" s="321"/>
      <c r="F966" s="322"/>
      <c r="G966" s="366"/>
    </row>
    <row r="967" spans="1:7" s="32" customFormat="1" x14ac:dyDescent="0.25">
      <c r="A967" s="315"/>
      <c r="B967" s="315"/>
      <c r="C967" s="326"/>
      <c r="D967" s="315"/>
      <c r="E967" s="321"/>
      <c r="F967" s="322"/>
      <c r="G967" s="366"/>
    </row>
    <row r="968" spans="1:7" s="32" customFormat="1" x14ac:dyDescent="0.25">
      <c r="A968" s="315"/>
      <c r="B968" s="315"/>
      <c r="C968" s="326"/>
      <c r="D968" s="315"/>
      <c r="E968" s="321"/>
      <c r="F968" s="322"/>
      <c r="G968" s="366"/>
    </row>
    <row r="969" spans="1:7" s="32" customFormat="1" x14ac:dyDescent="0.25">
      <c r="A969" s="315"/>
      <c r="B969" s="315"/>
      <c r="C969" s="326"/>
      <c r="D969" s="315"/>
      <c r="E969" s="321"/>
      <c r="F969" s="322"/>
      <c r="G969" s="366"/>
    </row>
    <row r="970" spans="1:7" s="32" customFormat="1" x14ac:dyDescent="0.25">
      <c r="A970" s="315"/>
      <c r="B970" s="315"/>
      <c r="C970" s="326"/>
      <c r="D970" s="315"/>
      <c r="E970" s="321"/>
      <c r="F970" s="322"/>
      <c r="G970" s="366"/>
    </row>
    <row r="971" spans="1:7" s="32" customFormat="1" x14ac:dyDescent="0.25">
      <c r="A971" s="315"/>
      <c r="B971" s="315"/>
      <c r="C971" s="326"/>
      <c r="D971" s="315"/>
      <c r="E971" s="321"/>
      <c r="F971" s="322"/>
      <c r="G971" s="366"/>
    </row>
    <row r="972" spans="1:7" s="32" customFormat="1" x14ac:dyDescent="0.25">
      <c r="A972" s="315"/>
      <c r="B972" s="315"/>
      <c r="C972" s="326"/>
      <c r="D972" s="315"/>
      <c r="E972" s="321"/>
      <c r="F972" s="322"/>
      <c r="G972" s="366"/>
    </row>
    <row r="973" spans="1:7" s="32" customFormat="1" x14ac:dyDescent="0.25">
      <c r="A973" s="315"/>
      <c r="B973" s="315"/>
      <c r="C973" s="326"/>
      <c r="D973" s="315"/>
      <c r="E973" s="321"/>
      <c r="F973" s="322"/>
      <c r="G973" s="366"/>
    </row>
    <row r="974" spans="1:7" s="32" customFormat="1" x14ac:dyDescent="0.25">
      <c r="A974" s="315"/>
      <c r="B974" s="315"/>
      <c r="C974" s="326"/>
      <c r="D974" s="315"/>
      <c r="E974" s="321"/>
      <c r="F974" s="322"/>
      <c r="G974" s="366"/>
    </row>
    <row r="975" spans="1:7" s="32" customFormat="1" x14ac:dyDescent="0.25">
      <c r="A975" s="315"/>
      <c r="B975" s="315"/>
      <c r="C975" s="326"/>
      <c r="D975" s="315"/>
      <c r="E975" s="321"/>
      <c r="F975" s="322"/>
      <c r="G975" s="366"/>
    </row>
    <row r="976" spans="1:7" s="32" customFormat="1" x14ac:dyDescent="0.25">
      <c r="A976" s="315"/>
      <c r="B976" s="315"/>
      <c r="C976" s="326"/>
      <c r="D976" s="315"/>
      <c r="E976" s="321"/>
      <c r="F976" s="322"/>
      <c r="G976" s="366"/>
    </row>
    <row r="977" spans="1:7" s="32" customFormat="1" x14ac:dyDescent="0.25">
      <c r="A977" s="315"/>
      <c r="B977" s="315"/>
      <c r="C977" s="326"/>
      <c r="D977" s="315"/>
      <c r="E977" s="321"/>
      <c r="F977" s="322"/>
      <c r="G977" s="366"/>
    </row>
    <row r="978" spans="1:7" s="32" customFormat="1" x14ac:dyDescent="0.25">
      <c r="A978" s="315"/>
      <c r="B978" s="315"/>
      <c r="C978" s="326"/>
      <c r="D978" s="315"/>
      <c r="E978" s="321"/>
      <c r="F978" s="322"/>
      <c r="G978" s="366"/>
    </row>
    <row r="979" spans="1:7" s="32" customFormat="1" x14ac:dyDescent="0.25">
      <c r="A979" s="315"/>
      <c r="B979" s="315"/>
      <c r="C979" s="326"/>
      <c r="D979" s="315"/>
      <c r="E979" s="321"/>
      <c r="F979" s="322"/>
      <c r="G979" s="366"/>
    </row>
    <row r="980" spans="1:7" s="32" customFormat="1" x14ac:dyDescent="0.25">
      <c r="A980" s="315"/>
      <c r="B980" s="315"/>
      <c r="C980" s="326"/>
      <c r="D980" s="315"/>
      <c r="E980" s="321"/>
      <c r="F980" s="322"/>
      <c r="G980" s="366"/>
    </row>
    <row r="981" spans="1:7" s="32" customFormat="1" x14ac:dyDescent="0.25">
      <c r="A981" s="315"/>
      <c r="B981" s="315"/>
      <c r="C981" s="326"/>
      <c r="D981" s="315"/>
      <c r="E981" s="321"/>
      <c r="F981" s="322"/>
      <c r="G981" s="366"/>
    </row>
    <row r="982" spans="1:7" s="32" customFormat="1" x14ac:dyDescent="0.25">
      <c r="A982" s="315"/>
      <c r="B982" s="315"/>
      <c r="C982" s="326"/>
      <c r="D982" s="315"/>
      <c r="E982" s="321"/>
      <c r="F982" s="322"/>
      <c r="G982" s="366"/>
    </row>
    <row r="983" spans="1:7" s="32" customFormat="1" x14ac:dyDescent="0.25">
      <c r="A983" s="315"/>
      <c r="B983" s="315"/>
      <c r="C983" s="326"/>
      <c r="D983" s="315"/>
      <c r="E983" s="321"/>
      <c r="F983" s="322"/>
      <c r="G983" s="366"/>
    </row>
    <row r="984" spans="1:7" s="32" customFormat="1" x14ac:dyDescent="0.25">
      <c r="A984" s="315"/>
      <c r="B984" s="315"/>
      <c r="C984" s="326"/>
      <c r="D984" s="315"/>
      <c r="E984" s="321"/>
      <c r="F984" s="322"/>
      <c r="G984" s="366"/>
    </row>
    <row r="985" spans="1:7" s="32" customFormat="1" x14ac:dyDescent="0.25">
      <c r="A985" s="315"/>
      <c r="B985" s="315"/>
      <c r="C985" s="326"/>
      <c r="D985" s="315"/>
      <c r="E985" s="321"/>
      <c r="F985" s="322"/>
      <c r="G985" s="366"/>
    </row>
    <row r="986" spans="1:7" s="32" customFormat="1" x14ac:dyDescent="0.25">
      <c r="A986" s="315"/>
      <c r="B986" s="315"/>
      <c r="C986" s="326"/>
      <c r="D986" s="315"/>
      <c r="E986" s="321"/>
      <c r="F986" s="322"/>
      <c r="G986" s="366"/>
    </row>
    <row r="987" spans="1:7" s="32" customFormat="1" x14ac:dyDescent="0.25">
      <c r="A987" s="315"/>
      <c r="B987" s="315"/>
      <c r="C987" s="326"/>
      <c r="D987" s="315"/>
      <c r="E987" s="321"/>
      <c r="F987" s="322"/>
      <c r="G987" s="366"/>
    </row>
    <row r="988" spans="1:7" s="32" customFormat="1" x14ac:dyDescent="0.25">
      <c r="A988" s="315"/>
      <c r="B988" s="315"/>
      <c r="C988" s="326"/>
      <c r="D988" s="315"/>
      <c r="E988" s="321"/>
      <c r="F988" s="322"/>
      <c r="G988" s="366"/>
    </row>
    <row r="989" spans="1:7" s="32" customFormat="1" x14ac:dyDescent="0.25">
      <c r="A989" s="315"/>
      <c r="B989" s="315"/>
      <c r="C989" s="326"/>
      <c r="D989" s="315"/>
      <c r="E989" s="321"/>
      <c r="F989" s="322"/>
      <c r="G989" s="366"/>
    </row>
    <row r="990" spans="1:7" s="32" customFormat="1" x14ac:dyDescent="0.25">
      <c r="A990" s="315"/>
      <c r="B990" s="315"/>
      <c r="C990" s="326"/>
      <c r="D990" s="315"/>
      <c r="E990" s="321"/>
      <c r="F990" s="322"/>
      <c r="G990" s="366"/>
    </row>
    <row r="991" spans="1:7" s="32" customFormat="1" x14ac:dyDescent="0.25">
      <c r="A991" s="315"/>
      <c r="B991" s="315"/>
      <c r="C991" s="326"/>
      <c r="D991" s="315"/>
      <c r="E991" s="321"/>
      <c r="F991" s="322"/>
      <c r="G991" s="366"/>
    </row>
    <row r="992" spans="1:7" s="32" customFormat="1" x14ac:dyDescent="0.25">
      <c r="A992" s="315"/>
      <c r="B992" s="315"/>
      <c r="C992" s="326"/>
      <c r="D992" s="315"/>
      <c r="E992" s="321"/>
      <c r="F992" s="322"/>
      <c r="G992" s="366"/>
    </row>
    <row r="993" spans="1:7" s="32" customFormat="1" x14ac:dyDescent="0.25">
      <c r="A993" s="315"/>
      <c r="B993" s="315"/>
      <c r="C993" s="326"/>
      <c r="D993" s="315"/>
      <c r="E993" s="321"/>
      <c r="F993" s="322"/>
      <c r="G993" s="366"/>
    </row>
    <row r="994" spans="1:7" s="32" customFormat="1" x14ac:dyDescent="0.25">
      <c r="A994" s="315"/>
      <c r="B994" s="315"/>
      <c r="C994" s="326"/>
      <c r="D994" s="315"/>
      <c r="E994" s="321"/>
      <c r="F994" s="322"/>
      <c r="G994" s="366"/>
    </row>
    <row r="995" spans="1:7" s="32" customFormat="1" x14ac:dyDescent="0.25">
      <c r="A995" s="315"/>
      <c r="B995" s="315"/>
      <c r="C995" s="326"/>
      <c r="D995" s="315"/>
      <c r="E995" s="321"/>
      <c r="F995" s="322"/>
      <c r="G995" s="366"/>
    </row>
    <row r="996" spans="1:7" s="32" customFormat="1" x14ac:dyDescent="0.25">
      <c r="A996" s="315"/>
      <c r="B996" s="315"/>
      <c r="C996" s="326"/>
      <c r="D996" s="315"/>
      <c r="E996" s="321"/>
      <c r="F996" s="322"/>
      <c r="G996" s="366"/>
    </row>
    <row r="997" spans="1:7" s="32" customFormat="1" x14ac:dyDescent="0.25">
      <c r="A997" s="315"/>
      <c r="B997" s="315"/>
      <c r="C997" s="326"/>
      <c r="D997" s="315"/>
      <c r="E997" s="321"/>
      <c r="F997" s="322"/>
      <c r="G997" s="366"/>
    </row>
    <row r="998" spans="1:7" s="32" customFormat="1" x14ac:dyDescent="0.25">
      <c r="A998" s="315"/>
      <c r="B998" s="315"/>
      <c r="C998" s="326"/>
      <c r="D998" s="315"/>
      <c r="E998" s="321"/>
      <c r="F998" s="322"/>
      <c r="G998" s="366"/>
    </row>
    <row r="999" spans="1:7" s="32" customFormat="1" x14ac:dyDescent="0.25">
      <c r="A999" s="315"/>
      <c r="B999" s="315"/>
      <c r="C999" s="326"/>
      <c r="D999" s="315"/>
      <c r="E999" s="321"/>
      <c r="F999" s="322"/>
      <c r="G999" s="366"/>
    </row>
    <row r="1000" spans="1:7" s="32" customFormat="1" x14ac:dyDescent="0.25">
      <c r="A1000" s="315"/>
      <c r="B1000" s="315"/>
      <c r="C1000" s="326"/>
      <c r="D1000" s="315"/>
      <c r="E1000" s="321"/>
      <c r="F1000" s="322"/>
      <c r="G1000" s="366"/>
    </row>
    <row r="1001" spans="1:7" s="32" customFormat="1" x14ac:dyDescent="0.25">
      <c r="A1001" s="315"/>
      <c r="B1001" s="315"/>
      <c r="C1001" s="326"/>
      <c r="D1001" s="315"/>
      <c r="E1001" s="321"/>
      <c r="F1001" s="322"/>
      <c r="G1001" s="366"/>
    </row>
    <row r="1002" spans="1:7" s="32" customFormat="1" x14ac:dyDescent="0.25">
      <c r="A1002" s="315"/>
      <c r="B1002" s="315"/>
      <c r="C1002" s="326"/>
      <c r="D1002" s="315"/>
      <c r="E1002" s="321"/>
      <c r="F1002" s="322"/>
      <c r="G1002" s="366"/>
    </row>
    <row r="1003" spans="1:7" s="32" customFormat="1" x14ac:dyDescent="0.25">
      <c r="A1003" s="315"/>
      <c r="B1003" s="315"/>
      <c r="C1003" s="326"/>
      <c r="D1003" s="315"/>
      <c r="E1003" s="321"/>
      <c r="F1003" s="322"/>
      <c r="G1003" s="366"/>
    </row>
    <row r="1004" spans="1:7" s="32" customFormat="1" x14ac:dyDescent="0.25">
      <c r="A1004" s="315"/>
      <c r="B1004" s="315"/>
      <c r="C1004" s="326"/>
      <c r="D1004" s="315"/>
      <c r="E1004" s="321"/>
      <c r="F1004" s="322"/>
      <c r="G1004" s="366"/>
    </row>
    <row r="1005" spans="1:7" s="32" customFormat="1" x14ac:dyDescent="0.25">
      <c r="A1005" s="315"/>
      <c r="B1005" s="315"/>
      <c r="C1005" s="326"/>
      <c r="D1005" s="315"/>
      <c r="E1005" s="321"/>
      <c r="F1005" s="322"/>
      <c r="G1005" s="366"/>
    </row>
    <row r="1006" spans="1:7" s="32" customFormat="1" x14ac:dyDescent="0.25">
      <c r="A1006" s="315"/>
      <c r="B1006" s="315"/>
      <c r="C1006" s="326"/>
      <c r="D1006" s="315"/>
      <c r="E1006" s="321"/>
      <c r="F1006" s="322"/>
      <c r="G1006" s="366"/>
    </row>
    <row r="1007" spans="1:7" s="32" customFormat="1" x14ac:dyDescent="0.25">
      <c r="A1007" s="315"/>
      <c r="B1007" s="315"/>
      <c r="C1007" s="326"/>
      <c r="D1007" s="315"/>
      <c r="E1007" s="321"/>
      <c r="F1007" s="322"/>
      <c r="G1007" s="366"/>
    </row>
    <row r="1008" spans="1:7" s="32" customFormat="1" x14ac:dyDescent="0.25">
      <c r="A1008" s="315"/>
      <c r="B1008" s="315"/>
      <c r="C1008" s="326"/>
      <c r="D1008" s="315"/>
      <c r="E1008" s="321"/>
      <c r="F1008" s="322"/>
      <c r="G1008" s="366"/>
    </row>
    <row r="1009" spans="1:7" s="32" customFormat="1" x14ac:dyDescent="0.25">
      <c r="A1009" s="315"/>
      <c r="B1009" s="315"/>
      <c r="C1009" s="326"/>
      <c r="D1009" s="315"/>
      <c r="E1009" s="321"/>
      <c r="F1009" s="322"/>
      <c r="G1009" s="366"/>
    </row>
    <row r="1010" spans="1:7" s="32" customFormat="1" x14ac:dyDescent="0.25">
      <c r="A1010" s="315"/>
      <c r="B1010" s="315"/>
      <c r="C1010" s="326"/>
      <c r="D1010" s="315"/>
      <c r="E1010" s="321"/>
      <c r="F1010" s="322"/>
      <c r="G1010" s="366"/>
    </row>
    <row r="1011" spans="1:7" s="32" customFormat="1" x14ac:dyDescent="0.25">
      <c r="A1011" s="315"/>
      <c r="B1011" s="315"/>
      <c r="C1011" s="326"/>
      <c r="D1011" s="315"/>
      <c r="E1011" s="321"/>
      <c r="F1011" s="322"/>
      <c r="G1011" s="366"/>
    </row>
    <row r="1012" spans="1:7" s="32" customFormat="1" x14ac:dyDescent="0.25">
      <c r="A1012" s="315"/>
      <c r="B1012" s="315"/>
      <c r="C1012" s="326"/>
      <c r="D1012" s="315"/>
      <c r="E1012" s="321"/>
      <c r="F1012" s="322"/>
      <c r="G1012" s="366"/>
    </row>
    <row r="1013" spans="1:7" s="32" customFormat="1" x14ac:dyDescent="0.25">
      <c r="A1013" s="315"/>
      <c r="B1013" s="315"/>
      <c r="C1013" s="326"/>
      <c r="D1013" s="315"/>
      <c r="E1013" s="321"/>
      <c r="F1013" s="322"/>
      <c r="G1013" s="366"/>
    </row>
    <row r="1014" spans="1:7" s="32" customFormat="1" x14ac:dyDescent="0.25">
      <c r="A1014" s="315"/>
      <c r="B1014" s="315"/>
      <c r="C1014" s="326"/>
      <c r="D1014" s="315"/>
      <c r="E1014" s="321"/>
      <c r="F1014" s="322"/>
      <c r="G1014" s="366"/>
    </row>
    <row r="1015" spans="1:7" s="32" customFormat="1" x14ac:dyDescent="0.25">
      <c r="A1015" s="315"/>
      <c r="B1015" s="315"/>
      <c r="C1015" s="326"/>
      <c r="D1015" s="315"/>
      <c r="E1015" s="321"/>
      <c r="F1015" s="322"/>
      <c r="G1015" s="366"/>
    </row>
    <row r="1016" spans="1:7" s="32" customFormat="1" x14ac:dyDescent="0.25">
      <c r="A1016" s="315"/>
      <c r="B1016" s="315"/>
      <c r="C1016" s="326"/>
      <c r="D1016" s="315"/>
      <c r="E1016" s="321"/>
      <c r="F1016" s="322"/>
      <c r="G1016" s="366"/>
    </row>
    <row r="1017" spans="1:7" s="32" customFormat="1" x14ac:dyDescent="0.25">
      <c r="A1017" s="315"/>
      <c r="B1017" s="315"/>
      <c r="C1017" s="326"/>
      <c r="D1017" s="315"/>
      <c r="E1017" s="321"/>
      <c r="F1017" s="322"/>
      <c r="G1017" s="366"/>
    </row>
    <row r="1018" spans="1:7" s="32" customFormat="1" x14ac:dyDescent="0.25">
      <c r="A1018" s="315"/>
      <c r="B1018" s="315"/>
      <c r="C1018" s="326"/>
      <c r="D1018" s="315"/>
      <c r="E1018" s="321"/>
      <c r="F1018" s="322"/>
      <c r="G1018" s="366"/>
    </row>
    <row r="1019" spans="1:7" s="32" customFormat="1" x14ac:dyDescent="0.25">
      <c r="A1019" s="315"/>
      <c r="B1019" s="315"/>
      <c r="C1019" s="326"/>
      <c r="D1019" s="315"/>
      <c r="E1019" s="321"/>
      <c r="F1019" s="322"/>
      <c r="G1019" s="366"/>
    </row>
    <row r="1020" spans="1:7" s="32" customFormat="1" x14ac:dyDescent="0.25">
      <c r="A1020" s="315"/>
      <c r="B1020" s="315"/>
      <c r="C1020" s="326"/>
      <c r="D1020" s="315"/>
      <c r="E1020" s="321"/>
      <c r="F1020" s="322"/>
      <c r="G1020" s="366"/>
    </row>
    <row r="1021" spans="1:7" s="32" customFormat="1" x14ac:dyDescent="0.25">
      <c r="A1021" s="315"/>
      <c r="B1021" s="315"/>
      <c r="C1021" s="326"/>
      <c r="D1021" s="315"/>
      <c r="E1021" s="321"/>
      <c r="F1021" s="322"/>
      <c r="G1021" s="366"/>
    </row>
    <row r="1022" spans="1:7" s="32" customFormat="1" x14ac:dyDescent="0.25">
      <c r="A1022" s="315"/>
      <c r="B1022" s="315"/>
      <c r="C1022" s="326"/>
      <c r="D1022" s="315"/>
      <c r="E1022" s="321"/>
      <c r="F1022" s="322"/>
      <c r="G1022" s="366"/>
    </row>
    <row r="1023" spans="1:7" s="32" customFormat="1" x14ac:dyDescent="0.25">
      <c r="A1023" s="315"/>
      <c r="B1023" s="315"/>
      <c r="C1023" s="326"/>
      <c r="D1023" s="315"/>
      <c r="E1023" s="321"/>
      <c r="F1023" s="322"/>
      <c r="G1023" s="366"/>
    </row>
    <row r="1024" spans="1:7" s="32" customFormat="1" x14ac:dyDescent="0.25">
      <c r="A1024" s="315"/>
      <c r="B1024" s="315"/>
      <c r="C1024" s="326"/>
      <c r="D1024" s="315"/>
      <c r="E1024" s="321"/>
      <c r="F1024" s="322"/>
      <c r="G1024" s="366"/>
    </row>
    <row r="1025" spans="1:7" s="32" customFormat="1" x14ac:dyDescent="0.25">
      <c r="A1025" s="315"/>
      <c r="B1025" s="315"/>
      <c r="C1025" s="326"/>
      <c r="D1025" s="315"/>
      <c r="E1025" s="321"/>
      <c r="F1025" s="322"/>
      <c r="G1025" s="366"/>
    </row>
    <row r="1026" spans="1:7" s="32" customFormat="1" x14ac:dyDescent="0.25">
      <c r="A1026" s="315"/>
      <c r="B1026" s="315"/>
      <c r="C1026" s="326"/>
      <c r="D1026" s="315"/>
      <c r="E1026" s="321"/>
      <c r="F1026" s="322"/>
      <c r="G1026" s="366"/>
    </row>
    <row r="1027" spans="1:7" s="32" customFormat="1" x14ac:dyDescent="0.25">
      <c r="A1027" s="315"/>
      <c r="B1027" s="315"/>
      <c r="C1027" s="326"/>
      <c r="D1027" s="315"/>
      <c r="E1027" s="321"/>
      <c r="F1027" s="322"/>
      <c r="G1027" s="366"/>
    </row>
    <row r="1028" spans="1:7" s="32" customFormat="1" x14ac:dyDescent="0.25">
      <c r="A1028" s="315"/>
      <c r="B1028" s="315"/>
      <c r="C1028" s="326"/>
      <c r="D1028" s="315"/>
      <c r="E1028" s="321"/>
      <c r="F1028" s="322"/>
      <c r="G1028" s="366"/>
    </row>
    <row r="1029" spans="1:7" s="32" customFormat="1" x14ac:dyDescent="0.25">
      <c r="A1029" s="315"/>
      <c r="B1029" s="315"/>
      <c r="C1029" s="326"/>
      <c r="D1029" s="315"/>
      <c r="E1029" s="321"/>
      <c r="F1029" s="322"/>
      <c r="G1029" s="366"/>
    </row>
    <row r="1030" spans="1:7" s="32" customFormat="1" x14ac:dyDescent="0.25">
      <c r="A1030" s="315"/>
      <c r="B1030" s="315"/>
      <c r="C1030" s="326"/>
      <c r="D1030" s="315"/>
      <c r="E1030" s="321"/>
      <c r="F1030" s="322"/>
      <c r="G1030" s="366"/>
    </row>
    <row r="1031" spans="1:7" s="32" customFormat="1" x14ac:dyDescent="0.25">
      <c r="A1031" s="315"/>
      <c r="B1031" s="315"/>
      <c r="C1031" s="326"/>
      <c r="D1031" s="315"/>
      <c r="E1031" s="321"/>
      <c r="F1031" s="322"/>
      <c r="G1031" s="366"/>
    </row>
    <row r="1032" spans="1:7" s="32" customFormat="1" x14ac:dyDescent="0.25">
      <c r="A1032" s="315"/>
      <c r="B1032" s="315"/>
      <c r="C1032" s="326"/>
      <c r="D1032" s="315"/>
      <c r="E1032" s="321"/>
      <c r="F1032" s="322"/>
      <c r="G1032" s="366"/>
    </row>
    <row r="1033" spans="1:7" s="32" customFormat="1" x14ac:dyDescent="0.25">
      <c r="A1033" s="315"/>
      <c r="B1033" s="315"/>
      <c r="C1033" s="326"/>
      <c r="D1033" s="315"/>
      <c r="E1033" s="321"/>
      <c r="F1033" s="322"/>
      <c r="G1033" s="366"/>
    </row>
    <row r="1034" spans="1:7" s="32" customFormat="1" x14ac:dyDescent="0.25">
      <c r="A1034" s="315"/>
      <c r="B1034" s="315"/>
      <c r="C1034" s="326"/>
      <c r="D1034" s="315"/>
      <c r="E1034" s="321"/>
      <c r="F1034" s="322"/>
      <c r="G1034" s="366"/>
    </row>
    <row r="1035" spans="1:7" s="32" customFormat="1" x14ac:dyDescent="0.25">
      <c r="A1035" s="315"/>
      <c r="B1035" s="315"/>
      <c r="C1035" s="326"/>
      <c r="D1035" s="315"/>
      <c r="E1035" s="321"/>
      <c r="F1035" s="322"/>
      <c r="G1035" s="366"/>
    </row>
    <row r="1036" spans="1:7" s="32" customFormat="1" x14ac:dyDescent="0.25">
      <c r="A1036" s="315"/>
      <c r="B1036" s="315"/>
      <c r="C1036" s="326"/>
      <c r="D1036" s="315"/>
      <c r="E1036" s="321"/>
      <c r="F1036" s="322"/>
      <c r="G1036" s="366"/>
    </row>
    <row r="1037" spans="1:7" s="32" customFormat="1" x14ac:dyDescent="0.25">
      <c r="A1037" s="315"/>
      <c r="B1037" s="315"/>
      <c r="C1037" s="326"/>
      <c r="D1037" s="315"/>
      <c r="E1037" s="321"/>
      <c r="F1037" s="322"/>
      <c r="G1037" s="366"/>
    </row>
    <row r="1038" spans="1:7" s="32" customFormat="1" x14ac:dyDescent="0.25">
      <c r="A1038" s="315"/>
      <c r="B1038" s="315"/>
      <c r="C1038" s="326"/>
      <c r="D1038" s="315"/>
      <c r="E1038" s="321"/>
      <c r="F1038" s="322"/>
      <c r="G1038" s="366"/>
    </row>
    <row r="1039" spans="1:7" s="32" customFormat="1" x14ac:dyDescent="0.25">
      <c r="A1039" s="315"/>
      <c r="B1039" s="315"/>
      <c r="C1039" s="326"/>
      <c r="D1039" s="315"/>
      <c r="E1039" s="321"/>
      <c r="F1039" s="322"/>
      <c r="G1039" s="366"/>
    </row>
    <row r="1040" spans="1:7" s="32" customFormat="1" x14ac:dyDescent="0.25">
      <c r="A1040" s="315"/>
      <c r="B1040" s="315"/>
      <c r="C1040" s="326"/>
      <c r="D1040" s="315"/>
      <c r="E1040" s="321"/>
      <c r="F1040" s="322"/>
      <c r="G1040" s="366"/>
    </row>
    <row r="1041" spans="1:7" s="32" customFormat="1" x14ac:dyDescent="0.25">
      <c r="A1041" s="315"/>
      <c r="B1041" s="315"/>
      <c r="C1041" s="326"/>
      <c r="D1041" s="315"/>
      <c r="E1041" s="321"/>
      <c r="F1041" s="322"/>
      <c r="G1041" s="366"/>
    </row>
    <row r="1042" spans="1:7" s="32" customFormat="1" x14ac:dyDescent="0.25">
      <c r="A1042" s="315"/>
      <c r="B1042" s="315"/>
      <c r="C1042" s="326"/>
      <c r="D1042" s="315"/>
      <c r="E1042" s="321"/>
      <c r="F1042" s="322"/>
      <c r="G1042" s="366"/>
    </row>
    <row r="1043" spans="1:7" s="32" customFormat="1" x14ac:dyDescent="0.25">
      <c r="A1043" s="315"/>
      <c r="B1043" s="315"/>
      <c r="C1043" s="326"/>
      <c r="D1043" s="315"/>
      <c r="E1043" s="321"/>
      <c r="F1043" s="322"/>
      <c r="G1043" s="366"/>
    </row>
    <row r="1044" spans="1:7" s="32" customFormat="1" x14ac:dyDescent="0.25">
      <c r="A1044" s="315"/>
      <c r="B1044" s="315"/>
      <c r="C1044" s="326"/>
      <c r="D1044" s="315"/>
      <c r="E1044" s="321"/>
      <c r="F1044" s="322"/>
      <c r="G1044" s="366"/>
    </row>
    <row r="1045" spans="1:7" s="32" customFormat="1" x14ac:dyDescent="0.25">
      <c r="A1045" s="315"/>
      <c r="B1045" s="315"/>
      <c r="C1045" s="326"/>
      <c r="D1045" s="315"/>
      <c r="E1045" s="321"/>
      <c r="F1045" s="322"/>
      <c r="G1045" s="366"/>
    </row>
    <row r="1046" spans="1:7" s="32" customFormat="1" x14ac:dyDescent="0.25">
      <c r="A1046" s="315"/>
      <c r="B1046" s="315"/>
      <c r="C1046" s="326"/>
      <c r="D1046" s="315"/>
      <c r="E1046" s="321"/>
      <c r="F1046" s="322"/>
      <c r="G1046" s="366"/>
    </row>
    <row r="1047" spans="1:7" s="32" customFormat="1" x14ac:dyDescent="0.25">
      <c r="A1047" s="315"/>
      <c r="B1047" s="315"/>
      <c r="C1047" s="326"/>
      <c r="D1047" s="315"/>
      <c r="E1047" s="321"/>
      <c r="F1047" s="322"/>
      <c r="G1047" s="366"/>
    </row>
    <row r="1048" spans="1:7" s="32" customFormat="1" x14ac:dyDescent="0.25">
      <c r="A1048" s="315"/>
      <c r="B1048" s="315"/>
      <c r="C1048" s="326"/>
      <c r="D1048" s="315"/>
      <c r="E1048" s="321"/>
      <c r="F1048" s="322"/>
      <c r="G1048" s="366"/>
    </row>
    <row r="1049" spans="1:7" s="32" customFormat="1" x14ac:dyDescent="0.25">
      <c r="A1049" s="315"/>
      <c r="B1049" s="315"/>
      <c r="C1049" s="326"/>
      <c r="D1049" s="315"/>
      <c r="E1049" s="321"/>
      <c r="F1049" s="322"/>
      <c r="G1049" s="366"/>
    </row>
    <row r="1050" spans="1:7" s="32" customFormat="1" x14ac:dyDescent="0.25">
      <c r="A1050" s="315"/>
      <c r="B1050" s="315"/>
      <c r="C1050" s="326"/>
      <c r="D1050" s="315"/>
      <c r="E1050" s="321"/>
      <c r="F1050" s="322"/>
      <c r="G1050" s="366"/>
    </row>
    <row r="1051" spans="1:7" s="32" customFormat="1" x14ac:dyDescent="0.25">
      <c r="A1051" s="315"/>
      <c r="B1051" s="315"/>
      <c r="C1051" s="326"/>
      <c r="D1051" s="315"/>
      <c r="E1051" s="321"/>
      <c r="F1051" s="322"/>
      <c r="G1051" s="366"/>
    </row>
    <row r="1052" spans="1:7" s="32" customFormat="1" x14ac:dyDescent="0.25">
      <c r="A1052" s="315"/>
      <c r="B1052" s="315"/>
      <c r="C1052" s="326"/>
      <c r="D1052" s="315"/>
      <c r="E1052" s="321"/>
      <c r="F1052" s="322"/>
      <c r="G1052" s="366"/>
    </row>
    <row r="1053" spans="1:7" s="32" customFormat="1" x14ac:dyDescent="0.25">
      <c r="A1053" s="315"/>
      <c r="B1053" s="315"/>
      <c r="C1053" s="326"/>
      <c r="D1053" s="315"/>
      <c r="E1053" s="321"/>
      <c r="F1053" s="322"/>
      <c r="G1053" s="366"/>
    </row>
    <row r="1054" spans="1:7" s="32" customFormat="1" x14ac:dyDescent="0.25">
      <c r="A1054" s="315"/>
      <c r="B1054" s="315"/>
      <c r="C1054" s="326"/>
      <c r="D1054" s="315"/>
      <c r="E1054" s="321"/>
      <c r="F1054" s="322"/>
      <c r="G1054" s="366"/>
    </row>
    <row r="1055" spans="1:7" s="32" customFormat="1" x14ac:dyDescent="0.25">
      <c r="A1055" s="315"/>
      <c r="B1055" s="315"/>
      <c r="C1055" s="326"/>
      <c r="D1055" s="315"/>
      <c r="E1055" s="321"/>
      <c r="F1055" s="322"/>
      <c r="G1055" s="366"/>
    </row>
    <row r="1056" spans="1:7" s="32" customFormat="1" x14ac:dyDescent="0.25">
      <c r="A1056" s="315"/>
      <c r="B1056" s="315"/>
      <c r="C1056" s="326"/>
      <c r="D1056" s="315"/>
      <c r="E1056" s="321"/>
      <c r="F1056" s="322"/>
      <c r="G1056" s="366"/>
    </row>
    <row r="1057" spans="1:7" s="32" customFormat="1" x14ac:dyDescent="0.25">
      <c r="A1057" s="315"/>
      <c r="B1057" s="315"/>
      <c r="C1057" s="326"/>
      <c r="D1057" s="315"/>
      <c r="E1057" s="321"/>
      <c r="F1057" s="322"/>
      <c r="G1057" s="366"/>
    </row>
    <row r="1058" spans="1:7" s="32" customFormat="1" x14ac:dyDescent="0.25">
      <c r="A1058" s="315"/>
      <c r="B1058" s="315"/>
      <c r="C1058" s="326"/>
      <c r="D1058" s="315"/>
      <c r="E1058" s="321"/>
      <c r="F1058" s="322"/>
      <c r="G1058" s="366"/>
    </row>
    <row r="1059" spans="1:7" s="32" customFormat="1" x14ac:dyDescent="0.25">
      <c r="A1059" s="315"/>
      <c r="B1059" s="315"/>
      <c r="C1059" s="326"/>
      <c r="D1059" s="315"/>
      <c r="E1059" s="321"/>
      <c r="F1059" s="322"/>
      <c r="G1059" s="366"/>
    </row>
    <row r="1060" spans="1:7" s="32" customFormat="1" x14ac:dyDescent="0.25">
      <c r="A1060" s="315"/>
      <c r="B1060" s="315"/>
      <c r="C1060" s="326"/>
      <c r="D1060" s="315"/>
      <c r="E1060" s="321"/>
      <c r="F1060" s="322"/>
      <c r="G1060" s="366"/>
    </row>
    <row r="1061" spans="1:7" s="32" customFormat="1" x14ac:dyDescent="0.25">
      <c r="A1061" s="315"/>
      <c r="B1061" s="315"/>
      <c r="C1061" s="326"/>
      <c r="D1061" s="315"/>
      <c r="E1061" s="321"/>
      <c r="F1061" s="322"/>
      <c r="G1061" s="366"/>
    </row>
    <row r="1062" spans="1:7" s="32" customFormat="1" x14ac:dyDescent="0.25">
      <c r="A1062" s="315"/>
      <c r="B1062" s="315"/>
      <c r="C1062" s="326"/>
      <c r="D1062" s="315"/>
      <c r="E1062" s="321"/>
      <c r="F1062" s="322"/>
      <c r="G1062" s="366"/>
    </row>
    <row r="1063" spans="1:7" s="32" customFormat="1" x14ac:dyDescent="0.25">
      <c r="A1063" s="315"/>
      <c r="B1063" s="315"/>
      <c r="C1063" s="326"/>
      <c r="D1063" s="315"/>
      <c r="E1063" s="321"/>
      <c r="F1063" s="322"/>
      <c r="G1063" s="366"/>
    </row>
    <row r="1064" spans="1:7" s="32" customFormat="1" x14ac:dyDescent="0.25">
      <c r="A1064" s="315"/>
      <c r="B1064" s="315"/>
      <c r="C1064" s="326"/>
      <c r="D1064" s="315"/>
      <c r="E1064" s="321"/>
      <c r="F1064" s="322"/>
      <c r="G1064" s="366"/>
    </row>
    <row r="1065" spans="1:7" s="32" customFormat="1" x14ac:dyDescent="0.25">
      <c r="A1065" s="315"/>
      <c r="B1065" s="315"/>
      <c r="C1065" s="326"/>
      <c r="D1065" s="315"/>
      <c r="E1065" s="321"/>
      <c r="F1065" s="322"/>
      <c r="G1065" s="366"/>
    </row>
    <row r="1066" spans="1:7" s="32" customFormat="1" x14ac:dyDescent="0.25">
      <c r="A1066" s="315"/>
      <c r="B1066" s="315"/>
      <c r="C1066" s="326"/>
      <c r="D1066" s="315"/>
      <c r="E1066" s="321"/>
      <c r="F1066" s="322"/>
      <c r="G1066" s="366"/>
    </row>
    <row r="1067" spans="1:7" s="32" customFormat="1" x14ac:dyDescent="0.25">
      <c r="A1067" s="315"/>
      <c r="B1067" s="315"/>
      <c r="C1067" s="326"/>
      <c r="D1067" s="315"/>
      <c r="E1067" s="321"/>
      <c r="F1067" s="322"/>
      <c r="G1067" s="366"/>
    </row>
    <row r="1068" spans="1:7" s="32" customFormat="1" x14ac:dyDescent="0.25">
      <c r="A1068" s="315"/>
      <c r="B1068" s="315"/>
      <c r="C1068" s="326"/>
      <c r="D1068" s="315"/>
      <c r="E1068" s="321"/>
      <c r="F1068" s="322"/>
      <c r="G1068" s="366"/>
    </row>
    <row r="1069" spans="1:7" s="32" customFormat="1" x14ac:dyDescent="0.25">
      <c r="A1069" s="315"/>
      <c r="B1069" s="315"/>
      <c r="C1069" s="326"/>
      <c r="D1069" s="315"/>
      <c r="E1069" s="321"/>
      <c r="F1069" s="322"/>
      <c r="G1069" s="366"/>
    </row>
    <row r="1070" spans="1:7" s="32" customFormat="1" x14ac:dyDescent="0.25">
      <c r="A1070" s="315"/>
      <c r="B1070" s="315"/>
      <c r="C1070" s="326"/>
      <c r="D1070" s="315"/>
      <c r="E1070" s="321"/>
      <c r="F1070" s="322"/>
      <c r="G1070" s="366"/>
    </row>
    <row r="1071" spans="1:7" s="32" customFormat="1" x14ac:dyDescent="0.25">
      <c r="A1071" s="315"/>
      <c r="B1071" s="315"/>
      <c r="C1071" s="326"/>
      <c r="D1071" s="315"/>
      <c r="E1071" s="321"/>
      <c r="F1071" s="322"/>
      <c r="G1071" s="366"/>
    </row>
    <row r="1072" spans="1:7" s="32" customFormat="1" x14ac:dyDescent="0.25">
      <c r="A1072" s="315"/>
      <c r="B1072" s="315"/>
      <c r="C1072" s="326"/>
      <c r="D1072" s="315"/>
      <c r="E1072" s="321"/>
      <c r="F1072" s="322"/>
      <c r="G1072" s="366"/>
    </row>
    <row r="1073" spans="1:7" s="32" customFormat="1" x14ac:dyDescent="0.25">
      <c r="A1073" s="315"/>
      <c r="B1073" s="315"/>
      <c r="C1073" s="326"/>
      <c r="D1073" s="315"/>
      <c r="E1073" s="321"/>
      <c r="F1073" s="322"/>
      <c r="G1073" s="366"/>
    </row>
    <row r="1074" spans="1:7" s="32" customFormat="1" x14ac:dyDescent="0.25">
      <c r="A1074" s="315"/>
      <c r="B1074" s="315"/>
      <c r="C1074" s="326"/>
      <c r="D1074" s="315"/>
      <c r="E1074" s="321"/>
      <c r="F1074" s="322"/>
      <c r="G1074" s="366"/>
    </row>
    <row r="1075" spans="1:7" s="32" customFormat="1" x14ac:dyDescent="0.25">
      <c r="A1075" s="315"/>
      <c r="B1075" s="315"/>
      <c r="C1075" s="326"/>
      <c r="D1075" s="315"/>
      <c r="E1075" s="321"/>
      <c r="F1075" s="322"/>
      <c r="G1075" s="366"/>
    </row>
    <row r="1076" spans="1:7" s="32" customFormat="1" x14ac:dyDescent="0.25">
      <c r="A1076" s="315"/>
      <c r="B1076" s="315"/>
      <c r="C1076" s="326"/>
      <c r="D1076" s="315"/>
      <c r="E1076" s="321"/>
      <c r="F1076" s="322"/>
      <c r="G1076" s="366"/>
    </row>
    <row r="1077" spans="1:7" s="32" customFormat="1" x14ac:dyDescent="0.25">
      <c r="A1077" s="315"/>
      <c r="B1077" s="315"/>
      <c r="C1077" s="326"/>
      <c r="D1077" s="315"/>
      <c r="E1077" s="321"/>
      <c r="F1077" s="322"/>
      <c r="G1077" s="366"/>
    </row>
  </sheetData>
  <mergeCells count="12">
    <mergeCell ref="A1:G1"/>
    <mergeCell ref="A39:F39"/>
    <mergeCell ref="A192:F192"/>
    <mergeCell ref="A191:F191"/>
    <mergeCell ref="A227:F227"/>
    <mergeCell ref="A38:F38"/>
    <mergeCell ref="A77:F77"/>
    <mergeCell ref="A76:F76"/>
    <mergeCell ref="A117:F117"/>
    <mergeCell ref="A118:F118"/>
    <mergeCell ref="A152:F152"/>
    <mergeCell ref="A153:F153"/>
  </mergeCells>
  <pageMargins left="0.51181102362204722" right="0.39370078740157483" top="0.94488188976377963" bottom="0.74803149606299213" header="0.23622047244094491" footer="0.31496062992125984"/>
  <pageSetup paperSize="9" firstPageNumber="103"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J</oddHeader>
    <oddFooter>&amp;L&amp;"Arial,Regular"&amp;9Bill of Quantities&amp;R&amp;"Arial,Regular"&amp;9BOQ.&amp;P</oddFooter>
  </headerFooter>
  <rowBreaks count="5" manualBreakCount="5">
    <brk id="38" max="6" man="1"/>
    <brk id="76" max="6" man="1"/>
    <brk id="117" max="6" man="1"/>
    <brk id="152" max="6" man="1"/>
    <brk id="191"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29ECA-BE56-4E92-8F5F-B13282CCFB97}">
  <dimension ref="A1:G1063"/>
  <sheetViews>
    <sheetView view="pageBreakPreview" topLeftCell="A158" zoomScale="145" zoomScaleNormal="115" zoomScaleSheetLayoutView="145" zoomScalePageLayoutView="115" workbookViewId="0">
      <selection activeCell="A177" sqref="A177:F177"/>
    </sheetView>
  </sheetViews>
  <sheetFormatPr defaultColWidth="9.140625" defaultRowHeight="12" x14ac:dyDescent="0.25"/>
  <cols>
    <col min="1" max="1" width="7.7109375" style="32" bestFit="1" customWidth="1"/>
    <col min="2" max="2" width="9.42578125" style="32" customWidth="1"/>
    <col min="3" max="3" width="35.140625" style="21" customWidth="1"/>
    <col min="4" max="4" width="5.140625" style="32" customWidth="1"/>
    <col min="5" max="5" width="6.85546875" style="59" bestFit="1" customWidth="1"/>
    <col min="6" max="6" width="11.7109375" style="68" customWidth="1"/>
    <col min="7" max="7" width="17.5703125" style="32" customWidth="1"/>
    <col min="8" max="8" width="9.140625" style="21"/>
    <col min="9" max="9" width="11" style="21" bestFit="1" customWidth="1"/>
    <col min="10" max="16384" width="9.140625" style="21"/>
  </cols>
  <sheetData>
    <row r="1" spans="1:7" ht="15" customHeight="1" x14ac:dyDescent="0.25">
      <c r="A1" s="29"/>
      <c r="B1" s="30"/>
      <c r="C1" s="528" t="s">
        <v>1042</v>
      </c>
      <c r="D1" s="528"/>
      <c r="E1" s="528"/>
      <c r="F1" s="528"/>
      <c r="G1" s="529"/>
    </row>
    <row r="2" spans="1:7" ht="27.75" customHeight="1" x14ac:dyDescent="0.25">
      <c r="A2" s="73" t="s">
        <v>91</v>
      </c>
      <c r="B2" s="31" t="s">
        <v>21</v>
      </c>
      <c r="C2" s="148" t="s">
        <v>0</v>
      </c>
      <c r="D2" s="73" t="s">
        <v>1</v>
      </c>
      <c r="E2" s="74" t="s">
        <v>22</v>
      </c>
      <c r="F2" s="63" t="s">
        <v>2</v>
      </c>
      <c r="G2" s="73" t="s">
        <v>77</v>
      </c>
    </row>
    <row r="3" spans="1:7" ht="11.85" customHeight="1" x14ac:dyDescent="0.25">
      <c r="A3" s="404"/>
      <c r="B3" s="414"/>
      <c r="C3" s="239"/>
      <c r="D3" s="240"/>
      <c r="E3" s="236"/>
      <c r="F3" s="237"/>
      <c r="G3" s="238"/>
    </row>
    <row r="4" spans="1:7" ht="24" x14ac:dyDescent="0.25">
      <c r="A4" s="227" t="s">
        <v>1043</v>
      </c>
      <c r="B4" s="153" t="s">
        <v>244</v>
      </c>
      <c r="C4" s="228" t="s">
        <v>9</v>
      </c>
      <c r="D4" s="229"/>
      <c r="E4" s="186"/>
      <c r="F4" s="230"/>
      <c r="G4" s="222"/>
    </row>
    <row r="5" spans="1:7" ht="11.85" customHeight="1" x14ac:dyDescent="0.25">
      <c r="A5" s="404"/>
      <c r="B5" s="414"/>
      <c r="C5" s="239"/>
      <c r="D5" s="240"/>
      <c r="E5" s="236"/>
      <c r="F5" s="237"/>
      <c r="G5" s="238"/>
    </row>
    <row r="6" spans="1:7" ht="14.25" customHeight="1" x14ac:dyDescent="0.25">
      <c r="A6" s="248" t="s">
        <v>1095</v>
      </c>
      <c r="B6" s="483" t="s">
        <v>1025</v>
      </c>
      <c r="C6" s="276" t="s">
        <v>1044</v>
      </c>
      <c r="D6" s="142" t="s">
        <v>87</v>
      </c>
      <c r="E6" s="211">
        <f>6*6</f>
        <v>36</v>
      </c>
      <c r="F6" s="523"/>
      <c r="G6" s="232"/>
    </row>
    <row r="7" spans="1:7" ht="11.85" customHeight="1" x14ac:dyDescent="0.25">
      <c r="A7" s="404"/>
      <c r="B7" s="414"/>
      <c r="C7" s="239"/>
      <c r="D7" s="240"/>
      <c r="E7" s="236"/>
      <c r="F7" s="237"/>
      <c r="G7" s="238"/>
    </row>
    <row r="8" spans="1:7" ht="36" x14ac:dyDescent="0.25">
      <c r="A8" s="108" t="s">
        <v>1096</v>
      </c>
      <c r="B8" s="51" t="s">
        <v>18</v>
      </c>
      <c r="C8" s="119" t="s">
        <v>1045</v>
      </c>
      <c r="D8" s="142" t="s">
        <v>88</v>
      </c>
      <c r="E8" s="186">
        <f>+E6*2</f>
        <v>72</v>
      </c>
      <c r="F8" s="230"/>
      <c r="G8" s="232"/>
    </row>
    <row r="9" spans="1:7" x14ac:dyDescent="0.25">
      <c r="A9" s="404"/>
      <c r="B9" s="414"/>
      <c r="C9" s="239"/>
      <c r="D9" s="240"/>
      <c r="E9" s="236"/>
      <c r="F9" s="237"/>
      <c r="G9" s="238"/>
    </row>
    <row r="10" spans="1:7" ht="11.85" customHeight="1" x14ac:dyDescent="0.25">
      <c r="A10" s="231" t="s">
        <v>1097</v>
      </c>
      <c r="B10" s="229"/>
      <c r="C10" s="524" t="s">
        <v>2389</v>
      </c>
      <c r="D10" s="142"/>
      <c r="E10" s="211"/>
      <c r="F10" s="234"/>
      <c r="G10" s="232"/>
    </row>
    <row r="11" spans="1:7" ht="11.85" customHeight="1" x14ac:dyDescent="0.25">
      <c r="A11" s="404"/>
      <c r="B11" s="414"/>
      <c r="C11" s="239"/>
      <c r="D11" s="240"/>
      <c r="E11" s="236"/>
      <c r="F11" s="237"/>
      <c r="G11" s="238"/>
    </row>
    <row r="12" spans="1:7" ht="11.85" customHeight="1" x14ac:dyDescent="0.25">
      <c r="A12" s="108" t="s">
        <v>2090</v>
      </c>
      <c r="B12" s="229"/>
      <c r="C12" s="235" t="s">
        <v>1028</v>
      </c>
      <c r="D12" s="142" t="s">
        <v>88</v>
      </c>
      <c r="E12" s="211">
        <v>20</v>
      </c>
      <c r="F12" s="234"/>
      <c r="G12" s="232"/>
    </row>
    <row r="13" spans="1:7" ht="11.85" customHeight="1" x14ac:dyDescent="0.25">
      <c r="A13" s="404"/>
      <c r="B13" s="414"/>
      <c r="C13" s="239"/>
      <c r="D13" s="240"/>
      <c r="E13" s="236"/>
      <c r="F13" s="237"/>
      <c r="G13" s="238"/>
    </row>
    <row r="14" spans="1:7" ht="11.85" customHeight="1" x14ac:dyDescent="0.25">
      <c r="A14" s="108" t="s">
        <v>2091</v>
      </c>
      <c r="B14" s="229"/>
      <c r="C14" s="235" t="s">
        <v>1029</v>
      </c>
      <c r="D14" s="142" t="s">
        <v>88</v>
      </c>
      <c r="E14" s="211">
        <v>5</v>
      </c>
      <c r="F14" s="234"/>
      <c r="G14" s="232"/>
    </row>
    <row r="15" spans="1:7" ht="11.85" customHeight="1" x14ac:dyDescent="0.25">
      <c r="A15" s="404"/>
      <c r="B15" s="414"/>
      <c r="C15" s="239"/>
      <c r="D15" s="240"/>
      <c r="E15" s="236"/>
      <c r="F15" s="237"/>
      <c r="G15" s="238"/>
    </row>
    <row r="16" spans="1:7" ht="36" x14ac:dyDescent="0.25">
      <c r="A16" s="108" t="s">
        <v>1098</v>
      </c>
      <c r="B16" s="51" t="s">
        <v>83</v>
      </c>
      <c r="C16" s="119" t="s">
        <v>562</v>
      </c>
      <c r="D16" s="142" t="s">
        <v>88</v>
      </c>
      <c r="E16" s="211">
        <f>ROUND(6*6*0.3,1)</f>
        <v>10.8</v>
      </c>
      <c r="F16" s="234"/>
      <c r="G16" s="232"/>
    </row>
    <row r="17" spans="1:7" ht="11.85" customHeight="1" x14ac:dyDescent="0.25">
      <c r="A17" s="404"/>
      <c r="B17" s="414"/>
      <c r="C17" s="239"/>
      <c r="D17" s="240"/>
      <c r="E17" s="236"/>
      <c r="F17" s="237"/>
      <c r="G17" s="238"/>
    </row>
    <row r="18" spans="1:7" ht="24" x14ac:dyDescent="0.25">
      <c r="A18" s="108" t="s">
        <v>1099</v>
      </c>
      <c r="B18" s="51" t="s">
        <v>563</v>
      </c>
      <c r="C18" s="50" t="s">
        <v>564</v>
      </c>
      <c r="D18" s="142" t="s">
        <v>88</v>
      </c>
      <c r="E18" s="211">
        <f>ROUND(6*6*0.15,1)</f>
        <v>5.4</v>
      </c>
      <c r="F18" s="234"/>
      <c r="G18" s="232"/>
    </row>
    <row r="19" spans="1:7" ht="11.85" customHeight="1" x14ac:dyDescent="0.25">
      <c r="A19" s="404"/>
      <c r="B19" s="414"/>
      <c r="C19" s="239"/>
      <c r="D19" s="240"/>
      <c r="E19" s="236"/>
      <c r="F19" s="237"/>
      <c r="G19" s="238"/>
    </row>
    <row r="20" spans="1:7" ht="24" x14ac:dyDescent="0.25">
      <c r="A20" s="227" t="s">
        <v>1046</v>
      </c>
      <c r="B20" s="207" t="s">
        <v>148</v>
      </c>
      <c r="C20" s="38" t="s">
        <v>93</v>
      </c>
      <c r="D20" s="229"/>
      <c r="E20" s="241"/>
      <c r="F20" s="242"/>
      <c r="G20" s="243"/>
    </row>
    <row r="21" spans="1:7" x14ac:dyDescent="0.25">
      <c r="A21" s="404"/>
      <c r="B21" s="414"/>
      <c r="C21" s="239"/>
      <c r="D21" s="240"/>
      <c r="E21" s="236"/>
      <c r="F21" s="237"/>
      <c r="G21" s="238"/>
    </row>
    <row r="22" spans="1:7" ht="11.85" customHeight="1" x14ac:dyDescent="0.25">
      <c r="A22" s="108" t="s">
        <v>1091</v>
      </c>
      <c r="B22" s="206">
        <v>8.1999999999999993</v>
      </c>
      <c r="C22" s="218" t="s">
        <v>149</v>
      </c>
      <c r="D22" s="229"/>
      <c r="E22" s="211"/>
      <c r="F22" s="234"/>
      <c r="G22" s="232"/>
    </row>
    <row r="23" spans="1:7" x14ac:dyDescent="0.25">
      <c r="A23" s="404"/>
      <c r="B23" s="414"/>
      <c r="C23" s="239"/>
      <c r="D23" s="240"/>
      <c r="E23" s="236"/>
      <c r="F23" s="237"/>
      <c r="G23" s="238"/>
    </row>
    <row r="24" spans="1:7" ht="11.85" customHeight="1" x14ac:dyDescent="0.25">
      <c r="A24" s="108"/>
      <c r="B24" s="206"/>
      <c r="C24" s="245" t="s">
        <v>172</v>
      </c>
      <c r="D24" s="229"/>
      <c r="E24" s="211"/>
      <c r="F24" s="234"/>
      <c r="G24" s="232"/>
    </row>
    <row r="25" spans="1:7" ht="11.85" customHeight="1" x14ac:dyDescent="0.25">
      <c r="A25" s="404"/>
      <c r="B25" s="414"/>
      <c r="C25" s="239"/>
      <c r="D25" s="240"/>
      <c r="E25" s="236"/>
      <c r="F25" s="237"/>
      <c r="G25" s="238"/>
    </row>
    <row r="26" spans="1:7" ht="13.5" x14ac:dyDescent="0.25">
      <c r="A26" s="108" t="s">
        <v>2092</v>
      </c>
      <c r="B26" s="142" t="s">
        <v>5</v>
      </c>
      <c r="C26" s="235" t="s">
        <v>1048</v>
      </c>
      <c r="D26" s="210" t="s">
        <v>87</v>
      </c>
      <c r="E26" s="211">
        <f>+ROUND(6*0.5*4,1)</f>
        <v>12</v>
      </c>
      <c r="F26" s="234"/>
      <c r="G26" s="232"/>
    </row>
    <row r="27" spans="1:7" ht="11.85" customHeight="1" x14ac:dyDescent="0.25">
      <c r="A27" s="404"/>
      <c r="B27" s="414"/>
      <c r="C27" s="239"/>
      <c r="D27" s="240"/>
      <c r="E27" s="236"/>
      <c r="F27" s="237"/>
      <c r="G27" s="238"/>
    </row>
    <row r="28" spans="1:7" ht="24" x14ac:dyDescent="0.25">
      <c r="A28" s="108" t="s">
        <v>2093</v>
      </c>
      <c r="B28" s="210" t="s">
        <v>7</v>
      </c>
      <c r="C28" s="119" t="s">
        <v>1047</v>
      </c>
      <c r="D28" s="210" t="s">
        <v>87</v>
      </c>
      <c r="E28" s="211">
        <f>+ROUND(1.2*0.6*4*4,1)</f>
        <v>11.5</v>
      </c>
      <c r="F28" s="234"/>
      <c r="G28" s="232"/>
    </row>
    <row r="29" spans="1:7" ht="11.85" customHeight="1" x14ac:dyDescent="0.25">
      <c r="A29" s="404"/>
      <c r="B29" s="414"/>
      <c r="C29" s="239"/>
      <c r="D29" s="240"/>
      <c r="E29" s="236"/>
      <c r="F29" s="237"/>
      <c r="G29" s="238"/>
    </row>
    <row r="30" spans="1:7" ht="11.85" customHeight="1" x14ac:dyDescent="0.25">
      <c r="A30" s="108" t="s">
        <v>1092</v>
      </c>
      <c r="B30" s="206">
        <v>8.3000000000000007</v>
      </c>
      <c r="C30" s="218" t="s">
        <v>151</v>
      </c>
      <c r="D30" s="229"/>
      <c r="E30" s="211"/>
      <c r="F30" s="234"/>
      <c r="G30" s="232"/>
    </row>
    <row r="31" spans="1:7" ht="11.85" customHeight="1" x14ac:dyDescent="0.25">
      <c r="A31" s="404"/>
      <c r="B31" s="414"/>
      <c r="C31" s="239"/>
      <c r="D31" s="240"/>
      <c r="E31" s="236"/>
      <c r="F31" s="237"/>
      <c r="G31" s="238"/>
    </row>
    <row r="32" spans="1:7" ht="11.85" customHeight="1" x14ac:dyDescent="0.25">
      <c r="A32" s="108"/>
      <c r="B32" s="229"/>
      <c r="C32" s="258" t="s">
        <v>406</v>
      </c>
      <c r="D32" s="229"/>
      <c r="E32" s="211"/>
      <c r="F32" s="234"/>
      <c r="G32" s="232"/>
    </row>
    <row r="33" spans="1:7" ht="11.85" customHeight="1" x14ac:dyDescent="0.25">
      <c r="A33" s="404"/>
      <c r="B33" s="414"/>
      <c r="C33" s="239"/>
      <c r="D33" s="240"/>
      <c r="E33" s="236"/>
      <c r="F33" s="237"/>
      <c r="G33" s="238"/>
    </row>
    <row r="34" spans="1:7" ht="11.85" customHeight="1" x14ac:dyDescent="0.25">
      <c r="A34" s="214" t="s">
        <v>2094</v>
      </c>
      <c r="B34" s="210" t="s">
        <v>26</v>
      </c>
      <c r="C34" s="119" t="s">
        <v>177</v>
      </c>
      <c r="D34" s="210" t="s">
        <v>92</v>
      </c>
      <c r="E34" s="211">
        <f>+ROUND((6*6*0.5*0.115)+(0.6*0.6*1.2*4*0.325),1)</f>
        <v>2.6</v>
      </c>
      <c r="F34" s="242"/>
      <c r="G34" s="232"/>
    </row>
    <row r="35" spans="1:7" ht="11.85" customHeight="1" x14ac:dyDescent="0.25">
      <c r="A35" s="404"/>
      <c r="B35" s="414"/>
      <c r="C35" s="239"/>
      <c r="D35" s="240"/>
      <c r="E35" s="236"/>
      <c r="F35" s="237"/>
      <c r="G35" s="238"/>
    </row>
    <row r="36" spans="1:7" ht="11.85" customHeight="1" x14ac:dyDescent="0.25">
      <c r="A36" s="108" t="s">
        <v>1093</v>
      </c>
      <c r="B36" s="207">
        <v>8.4</v>
      </c>
      <c r="C36" s="38" t="s">
        <v>152</v>
      </c>
      <c r="D36" s="229"/>
      <c r="E36" s="211"/>
      <c r="F36" s="234"/>
      <c r="G36" s="232"/>
    </row>
    <row r="37" spans="1:7" ht="11.85" customHeight="1" x14ac:dyDescent="0.25">
      <c r="A37" s="404"/>
      <c r="B37" s="414"/>
      <c r="C37" s="239"/>
      <c r="D37" s="240"/>
      <c r="E37" s="236"/>
      <c r="F37" s="237"/>
      <c r="G37" s="238"/>
    </row>
    <row r="38" spans="1:7" ht="11.85" customHeight="1" x14ac:dyDescent="0.25">
      <c r="A38" s="246"/>
      <c r="B38" s="229"/>
      <c r="C38" s="258" t="s">
        <v>407</v>
      </c>
      <c r="D38" s="229"/>
      <c r="E38" s="241"/>
      <c r="F38" s="242"/>
      <c r="G38" s="243"/>
    </row>
    <row r="39" spans="1:7" ht="11.85" customHeight="1" x14ac:dyDescent="0.25">
      <c r="A39" s="404"/>
      <c r="B39" s="414"/>
      <c r="C39" s="239"/>
      <c r="D39" s="240"/>
      <c r="E39" s="236"/>
      <c r="F39" s="237"/>
      <c r="G39" s="238"/>
    </row>
    <row r="40" spans="1:7" ht="11.85" customHeight="1" x14ac:dyDescent="0.25">
      <c r="A40" s="108"/>
      <c r="B40" s="221" t="s">
        <v>94</v>
      </c>
      <c r="C40" s="212" t="s">
        <v>525</v>
      </c>
      <c r="D40" s="229"/>
      <c r="E40" s="211"/>
      <c r="F40" s="234"/>
      <c r="G40" s="232"/>
    </row>
    <row r="41" spans="1:7" ht="11.85" customHeight="1" x14ac:dyDescent="0.25">
      <c r="A41" s="404"/>
      <c r="B41" s="414"/>
      <c r="C41" s="239"/>
      <c r="D41" s="240"/>
      <c r="E41" s="236"/>
      <c r="F41" s="237"/>
      <c r="G41" s="238"/>
    </row>
    <row r="42" spans="1:7" ht="24" x14ac:dyDescent="0.25">
      <c r="A42" s="108" t="s">
        <v>2095</v>
      </c>
      <c r="B42" s="229"/>
      <c r="C42" s="119" t="s">
        <v>1049</v>
      </c>
      <c r="D42" s="142" t="s">
        <v>88</v>
      </c>
      <c r="E42" s="211">
        <f>+ROUND((6*6*0.5)+(0.6*0.6*1.2*4),1)</f>
        <v>19.7</v>
      </c>
      <c r="F42" s="234"/>
      <c r="G42" s="232"/>
    </row>
    <row r="43" spans="1:7" x14ac:dyDescent="0.25">
      <c r="A43" s="404"/>
      <c r="B43" s="414"/>
      <c r="C43" s="239"/>
      <c r="D43" s="240"/>
      <c r="E43" s="236"/>
      <c r="F43" s="237"/>
      <c r="G43" s="238"/>
    </row>
    <row r="44" spans="1:7" ht="13.5" x14ac:dyDescent="0.25">
      <c r="A44" s="108" t="s">
        <v>2096</v>
      </c>
      <c r="B44" s="229"/>
      <c r="C44" s="220" t="s">
        <v>1050</v>
      </c>
      <c r="D44" s="142" t="s">
        <v>88</v>
      </c>
      <c r="E44" s="211">
        <f>ROUND(6*6*0.05,1)</f>
        <v>1.8</v>
      </c>
      <c r="F44" s="234"/>
      <c r="G44" s="232"/>
    </row>
    <row r="45" spans="1:7" x14ac:dyDescent="0.25">
      <c r="A45" s="404"/>
      <c r="B45" s="414"/>
      <c r="C45" s="239"/>
      <c r="D45" s="240"/>
      <c r="E45" s="236"/>
      <c r="F45" s="237"/>
      <c r="G45" s="238"/>
    </row>
    <row r="46" spans="1:7" x14ac:dyDescent="0.25">
      <c r="A46" s="108"/>
      <c r="B46" s="229"/>
      <c r="C46" s="235"/>
      <c r="D46" s="142"/>
      <c r="E46" s="211"/>
      <c r="F46" s="234"/>
      <c r="G46" s="232"/>
    </row>
    <row r="47" spans="1:7" x14ac:dyDescent="0.25">
      <c r="A47" s="404"/>
      <c r="B47" s="414"/>
      <c r="C47" s="239"/>
      <c r="D47" s="240"/>
      <c r="E47" s="236"/>
      <c r="F47" s="237"/>
      <c r="G47" s="238"/>
    </row>
    <row r="48" spans="1:7" x14ac:dyDescent="0.25">
      <c r="A48" s="108"/>
      <c r="B48" s="229"/>
      <c r="C48" s="235"/>
      <c r="D48" s="142"/>
      <c r="E48" s="211"/>
      <c r="F48" s="234"/>
      <c r="G48" s="232"/>
    </row>
    <row r="49" spans="1:7" ht="28.5" customHeight="1" x14ac:dyDescent="0.25">
      <c r="A49" s="526" t="s">
        <v>609</v>
      </c>
      <c r="B49" s="526"/>
      <c r="C49" s="526"/>
      <c r="D49" s="526"/>
      <c r="E49" s="526"/>
      <c r="F49" s="526"/>
      <c r="G49" s="158"/>
    </row>
    <row r="50" spans="1:7" ht="25.9" customHeight="1" x14ac:dyDescent="0.25">
      <c r="A50" s="526" t="s">
        <v>610</v>
      </c>
      <c r="B50" s="526"/>
      <c r="C50" s="526"/>
      <c r="D50" s="526"/>
      <c r="E50" s="526"/>
      <c r="F50" s="526"/>
      <c r="G50" s="158"/>
    </row>
    <row r="51" spans="1:7" x14ac:dyDescent="0.25">
      <c r="A51" s="404"/>
      <c r="B51" s="414"/>
      <c r="C51" s="239"/>
      <c r="D51" s="240"/>
      <c r="E51" s="236"/>
      <c r="F51" s="237"/>
      <c r="G51" s="238"/>
    </row>
    <row r="52" spans="1:7" x14ac:dyDescent="0.25">
      <c r="A52" s="108" t="s">
        <v>1094</v>
      </c>
      <c r="B52" s="221" t="s">
        <v>58</v>
      </c>
      <c r="C52" s="212" t="s">
        <v>158</v>
      </c>
      <c r="D52" s="229"/>
      <c r="E52" s="211"/>
      <c r="F52" s="234"/>
      <c r="G52" s="232"/>
    </row>
    <row r="53" spans="1:7" x14ac:dyDescent="0.25">
      <c r="A53" s="404"/>
      <c r="B53" s="414"/>
      <c r="C53" s="239"/>
      <c r="D53" s="240"/>
      <c r="E53" s="236"/>
      <c r="F53" s="237"/>
      <c r="G53" s="238"/>
    </row>
    <row r="54" spans="1:7" ht="13.5" x14ac:dyDescent="0.25">
      <c r="A54" s="108" t="s">
        <v>2097</v>
      </c>
      <c r="B54" s="229"/>
      <c r="C54" s="220" t="s">
        <v>1051</v>
      </c>
      <c r="D54" s="210" t="s">
        <v>87</v>
      </c>
      <c r="E54" s="211">
        <f>+ROUND(0.6*0.6*4,1)</f>
        <v>1.4</v>
      </c>
      <c r="F54" s="234"/>
      <c r="G54" s="232"/>
    </row>
    <row r="55" spans="1:7" x14ac:dyDescent="0.25">
      <c r="A55" s="404"/>
      <c r="B55" s="414"/>
      <c r="C55" s="239"/>
      <c r="D55" s="240"/>
      <c r="E55" s="236"/>
      <c r="F55" s="237"/>
      <c r="G55" s="238"/>
    </row>
    <row r="56" spans="1:7" ht="24" x14ac:dyDescent="0.25">
      <c r="A56" s="108" t="s">
        <v>2098</v>
      </c>
      <c r="B56" s="210">
        <v>8.6999999999999993</v>
      </c>
      <c r="C56" s="119" t="s">
        <v>1052</v>
      </c>
      <c r="D56" s="142" t="s">
        <v>88</v>
      </c>
      <c r="E56" s="211">
        <v>0.5</v>
      </c>
      <c r="F56" s="234"/>
      <c r="G56" s="232"/>
    </row>
    <row r="57" spans="1:7" x14ac:dyDescent="0.25">
      <c r="A57" s="404"/>
      <c r="B57" s="414"/>
      <c r="C57" s="239"/>
      <c r="D57" s="240"/>
      <c r="E57" s="236"/>
      <c r="F57" s="237"/>
      <c r="G57" s="238"/>
    </row>
    <row r="58" spans="1:7" ht="24" x14ac:dyDescent="0.25">
      <c r="A58" s="22" t="s">
        <v>1053</v>
      </c>
      <c r="B58" s="5" t="s">
        <v>3</v>
      </c>
      <c r="C58" s="19" t="s">
        <v>4</v>
      </c>
      <c r="D58" s="2"/>
      <c r="E58" s="69"/>
      <c r="F58" s="70"/>
      <c r="G58" s="40"/>
    </row>
    <row r="59" spans="1:7" x14ac:dyDescent="0.25">
      <c r="A59" s="404"/>
      <c r="B59" s="414"/>
      <c r="C59" s="239"/>
      <c r="D59" s="240"/>
      <c r="E59" s="236"/>
      <c r="F59" s="237"/>
      <c r="G59" s="238"/>
    </row>
    <row r="60" spans="1:7" x14ac:dyDescent="0.25">
      <c r="A60" s="34" t="s">
        <v>1064</v>
      </c>
      <c r="B60" s="5" t="s">
        <v>2390</v>
      </c>
      <c r="C60" s="6" t="s">
        <v>1054</v>
      </c>
      <c r="D60" s="2"/>
      <c r="E60" s="56"/>
      <c r="F60" s="54"/>
      <c r="G60" s="62"/>
    </row>
    <row r="61" spans="1:7" x14ac:dyDescent="0.25">
      <c r="A61" s="404"/>
      <c r="B61" s="414"/>
      <c r="C61" s="239"/>
      <c r="D61" s="240"/>
      <c r="E61" s="236"/>
      <c r="F61" s="237"/>
      <c r="G61" s="238"/>
    </row>
    <row r="62" spans="1:7" ht="85.5" customHeight="1" x14ac:dyDescent="0.25">
      <c r="A62" s="108" t="s">
        <v>1065</v>
      </c>
      <c r="B62" s="210" t="s">
        <v>2391</v>
      </c>
      <c r="C62" s="135" t="s">
        <v>1055</v>
      </c>
      <c r="D62" s="210" t="s">
        <v>28</v>
      </c>
      <c r="E62" s="211">
        <v>1</v>
      </c>
      <c r="F62" s="234"/>
      <c r="G62" s="232"/>
    </row>
    <row r="63" spans="1:7" x14ac:dyDescent="0.25">
      <c r="A63" s="404"/>
      <c r="B63" s="414"/>
      <c r="C63" s="239"/>
      <c r="D63" s="240"/>
      <c r="E63" s="236"/>
      <c r="F63" s="237"/>
      <c r="G63" s="238"/>
    </row>
    <row r="64" spans="1:7" x14ac:dyDescent="0.25">
      <c r="A64" s="118" t="s">
        <v>1066</v>
      </c>
      <c r="B64" s="210" t="s">
        <v>2392</v>
      </c>
      <c r="C64" s="116" t="s">
        <v>1056</v>
      </c>
      <c r="D64" s="210" t="s">
        <v>28</v>
      </c>
      <c r="E64" s="56">
        <v>1</v>
      </c>
      <c r="F64" s="54"/>
      <c r="G64" s="232"/>
    </row>
    <row r="65" spans="1:7" x14ac:dyDescent="0.25">
      <c r="A65" s="404"/>
      <c r="B65" s="414"/>
      <c r="C65" s="239"/>
      <c r="D65" s="240"/>
      <c r="E65" s="236"/>
      <c r="F65" s="237"/>
      <c r="G65" s="238"/>
    </row>
    <row r="66" spans="1:7" x14ac:dyDescent="0.25">
      <c r="A66" s="25" t="s">
        <v>1067</v>
      </c>
      <c r="B66" s="210" t="s">
        <v>2393</v>
      </c>
      <c r="C66" s="113" t="s">
        <v>1057</v>
      </c>
      <c r="D66" s="210" t="s">
        <v>28</v>
      </c>
      <c r="E66" s="69">
        <v>1</v>
      </c>
      <c r="F66" s="70"/>
      <c r="G66" s="232"/>
    </row>
    <row r="67" spans="1:7" x14ac:dyDescent="0.25">
      <c r="A67" s="404"/>
      <c r="B67" s="414"/>
      <c r="C67" s="239"/>
      <c r="D67" s="240"/>
      <c r="E67" s="236"/>
      <c r="F67" s="237"/>
      <c r="G67" s="238"/>
    </row>
    <row r="68" spans="1:7" ht="36" x14ac:dyDescent="0.25">
      <c r="A68" s="34" t="s">
        <v>1068</v>
      </c>
      <c r="B68" s="5" t="s">
        <v>13</v>
      </c>
      <c r="C68" s="19" t="s">
        <v>1058</v>
      </c>
      <c r="D68" s="2"/>
      <c r="E68" s="56"/>
      <c r="F68" s="54"/>
      <c r="G68" s="62"/>
    </row>
    <row r="69" spans="1:7" x14ac:dyDescent="0.25">
      <c r="A69" s="404"/>
      <c r="B69" s="414"/>
      <c r="C69" s="239"/>
      <c r="D69" s="240"/>
      <c r="E69" s="236"/>
      <c r="F69" s="237"/>
      <c r="G69" s="238"/>
    </row>
    <row r="70" spans="1:7" x14ac:dyDescent="0.25">
      <c r="A70" s="25"/>
      <c r="B70" s="2"/>
      <c r="C70" s="134" t="s">
        <v>413</v>
      </c>
      <c r="D70" s="2"/>
      <c r="E70" s="69"/>
      <c r="F70" s="70"/>
      <c r="G70" s="40"/>
    </row>
    <row r="71" spans="1:7" x14ac:dyDescent="0.25">
      <c r="A71" s="404"/>
      <c r="B71" s="414"/>
      <c r="C71" s="239"/>
      <c r="D71" s="240"/>
      <c r="E71" s="236"/>
      <c r="F71" s="237"/>
      <c r="G71" s="238"/>
    </row>
    <row r="72" spans="1:7" ht="27" customHeight="1" x14ac:dyDescent="0.25">
      <c r="A72" s="1"/>
      <c r="B72" s="2"/>
      <c r="C72" s="113" t="s">
        <v>454</v>
      </c>
      <c r="D72" s="2"/>
      <c r="E72" s="56"/>
      <c r="F72" s="54"/>
      <c r="G72" s="62"/>
    </row>
    <row r="73" spans="1:7" x14ac:dyDescent="0.25">
      <c r="A73" s="404"/>
      <c r="B73" s="414"/>
      <c r="C73" s="239"/>
      <c r="D73" s="240"/>
      <c r="E73" s="236"/>
      <c r="F73" s="237"/>
      <c r="G73" s="238"/>
    </row>
    <row r="74" spans="1:7" ht="24" x14ac:dyDescent="0.25">
      <c r="A74" s="25"/>
      <c r="B74" s="2"/>
      <c r="C74" s="113" t="s">
        <v>823</v>
      </c>
      <c r="D74" s="2"/>
      <c r="E74" s="69"/>
      <c r="F74" s="70"/>
      <c r="G74" s="40"/>
    </row>
    <row r="75" spans="1:7" x14ac:dyDescent="0.25">
      <c r="A75" s="404"/>
      <c r="B75" s="414"/>
      <c r="C75" s="239"/>
      <c r="D75" s="240"/>
      <c r="E75" s="236"/>
      <c r="F75" s="237"/>
      <c r="G75" s="238"/>
    </row>
    <row r="76" spans="1:7" x14ac:dyDescent="0.25">
      <c r="A76" s="25"/>
      <c r="B76" s="2"/>
      <c r="C76" s="134" t="s">
        <v>414</v>
      </c>
      <c r="D76" s="2"/>
      <c r="E76" s="69"/>
      <c r="F76" s="70"/>
      <c r="G76" s="40"/>
    </row>
    <row r="77" spans="1:7" x14ac:dyDescent="0.25">
      <c r="A77" s="404"/>
      <c r="B77" s="414"/>
      <c r="C77" s="239"/>
      <c r="D77" s="240"/>
      <c r="E77" s="236"/>
      <c r="F77" s="237"/>
      <c r="G77" s="238"/>
    </row>
    <row r="78" spans="1:7" ht="37.5" customHeight="1" x14ac:dyDescent="0.25">
      <c r="A78" s="1"/>
      <c r="B78" s="2"/>
      <c r="C78" s="113" t="s">
        <v>895</v>
      </c>
      <c r="D78" s="2"/>
      <c r="E78" s="56"/>
      <c r="F78" s="54"/>
      <c r="G78" s="62"/>
    </row>
    <row r="79" spans="1:7" x14ac:dyDescent="0.25">
      <c r="A79" s="404"/>
      <c r="B79" s="414"/>
      <c r="C79" s="239"/>
      <c r="D79" s="240"/>
      <c r="E79" s="236"/>
      <c r="F79" s="237"/>
      <c r="G79" s="238"/>
    </row>
    <row r="80" spans="1:7" ht="36" x14ac:dyDescent="0.25">
      <c r="A80" s="76"/>
      <c r="B80" s="61"/>
      <c r="C80" s="9" t="s">
        <v>1059</v>
      </c>
      <c r="D80" s="2"/>
      <c r="E80" s="69"/>
      <c r="F80" s="70"/>
      <c r="G80" s="40"/>
    </row>
    <row r="81" spans="1:7" x14ac:dyDescent="0.25">
      <c r="A81" s="404"/>
      <c r="B81" s="414"/>
      <c r="C81" s="239"/>
      <c r="D81" s="240"/>
      <c r="E81" s="236"/>
      <c r="F81" s="237"/>
      <c r="G81" s="238"/>
    </row>
    <row r="82" spans="1:7" x14ac:dyDescent="0.25">
      <c r="A82" s="248" t="s">
        <v>1069</v>
      </c>
      <c r="B82" s="229"/>
      <c r="C82" s="235" t="s">
        <v>1062</v>
      </c>
      <c r="D82" s="142" t="s">
        <v>8</v>
      </c>
      <c r="E82" s="211">
        <v>4</v>
      </c>
      <c r="F82" s="234"/>
      <c r="G82" s="232"/>
    </row>
    <row r="83" spans="1:7" x14ac:dyDescent="0.25">
      <c r="A83" s="404"/>
      <c r="B83" s="414"/>
      <c r="C83" s="239"/>
      <c r="D83" s="240"/>
      <c r="E83" s="236"/>
      <c r="F83" s="237"/>
      <c r="G83" s="238"/>
    </row>
    <row r="84" spans="1:7" x14ac:dyDescent="0.25">
      <c r="A84" s="248" t="s">
        <v>1070</v>
      </c>
      <c r="B84" s="229"/>
      <c r="C84" s="235" t="s">
        <v>1063</v>
      </c>
      <c r="D84" s="142" t="s">
        <v>8</v>
      </c>
      <c r="E84" s="211">
        <v>4</v>
      </c>
      <c r="F84" s="234"/>
      <c r="G84" s="232"/>
    </row>
    <row r="85" spans="1:7" x14ac:dyDescent="0.25">
      <c r="A85" s="404"/>
      <c r="B85" s="414"/>
      <c r="C85" s="239"/>
      <c r="D85" s="240"/>
      <c r="E85" s="236"/>
      <c r="F85" s="237"/>
      <c r="G85" s="238"/>
    </row>
    <row r="86" spans="1:7" x14ac:dyDescent="0.25">
      <c r="A86" s="108"/>
      <c r="B86" s="229"/>
      <c r="C86" s="235"/>
      <c r="D86" s="142"/>
      <c r="E86" s="211"/>
      <c r="F86" s="234"/>
      <c r="G86" s="232"/>
    </row>
    <row r="87" spans="1:7" ht="28.5" customHeight="1" x14ac:dyDescent="0.25">
      <c r="A87" s="526" t="s">
        <v>609</v>
      </c>
      <c r="B87" s="526"/>
      <c r="C87" s="526"/>
      <c r="D87" s="526"/>
      <c r="E87" s="526"/>
      <c r="F87" s="526"/>
      <c r="G87" s="158"/>
    </row>
    <row r="88" spans="1:7" ht="25.9" customHeight="1" x14ac:dyDescent="0.25">
      <c r="A88" s="526" t="s">
        <v>610</v>
      </c>
      <c r="B88" s="526"/>
      <c r="C88" s="526"/>
      <c r="D88" s="526"/>
      <c r="E88" s="526"/>
      <c r="F88" s="526"/>
      <c r="G88" s="158"/>
    </row>
    <row r="89" spans="1:7" x14ac:dyDescent="0.25">
      <c r="A89" s="404"/>
      <c r="B89" s="414"/>
      <c r="C89" s="239"/>
      <c r="D89" s="240"/>
      <c r="E89" s="236"/>
      <c r="F89" s="237"/>
      <c r="G89" s="238"/>
    </row>
    <row r="90" spans="1:7" x14ac:dyDescent="0.25">
      <c r="A90" s="248" t="s">
        <v>1074</v>
      </c>
      <c r="B90" s="229"/>
      <c r="C90" s="235" t="s">
        <v>1060</v>
      </c>
      <c r="D90" s="142" t="s">
        <v>8</v>
      </c>
      <c r="E90" s="211">
        <v>4</v>
      </c>
      <c r="F90" s="234"/>
      <c r="G90" s="232"/>
    </row>
    <row r="91" spans="1:7" x14ac:dyDescent="0.25">
      <c r="A91" s="404"/>
      <c r="B91" s="414"/>
      <c r="C91" s="239"/>
      <c r="D91" s="240"/>
      <c r="E91" s="236"/>
      <c r="F91" s="237"/>
      <c r="G91" s="238"/>
    </row>
    <row r="92" spans="1:7" x14ac:dyDescent="0.25">
      <c r="A92" s="248" t="s">
        <v>1075</v>
      </c>
      <c r="B92" s="229"/>
      <c r="C92" s="235" t="s">
        <v>1061</v>
      </c>
      <c r="D92" s="142" t="s">
        <v>8</v>
      </c>
      <c r="E92" s="211">
        <v>4</v>
      </c>
      <c r="F92" s="234"/>
      <c r="G92" s="232"/>
    </row>
    <row r="93" spans="1:7" x14ac:dyDescent="0.25">
      <c r="A93" s="404"/>
      <c r="B93" s="414"/>
      <c r="C93" s="239"/>
      <c r="D93" s="240"/>
      <c r="E93" s="236"/>
      <c r="F93" s="237"/>
      <c r="G93" s="238"/>
    </row>
    <row r="94" spans="1:7" ht="36" x14ac:dyDescent="0.25">
      <c r="A94" s="367"/>
      <c r="B94" s="2"/>
      <c r="C94" s="9" t="s">
        <v>1071</v>
      </c>
      <c r="D94" s="142"/>
      <c r="E94" s="114"/>
      <c r="F94" s="54"/>
      <c r="G94" s="145"/>
    </row>
    <row r="95" spans="1:7" x14ac:dyDescent="0.25">
      <c r="A95" s="404"/>
      <c r="B95" s="414"/>
      <c r="C95" s="239"/>
      <c r="D95" s="240"/>
      <c r="E95" s="236"/>
      <c r="F95" s="237"/>
      <c r="G95" s="238"/>
    </row>
    <row r="96" spans="1:7" x14ac:dyDescent="0.25">
      <c r="A96" s="150" t="s">
        <v>1078</v>
      </c>
      <c r="B96" s="2"/>
      <c r="C96" s="220" t="s">
        <v>1073</v>
      </c>
      <c r="D96" s="142" t="s">
        <v>8</v>
      </c>
      <c r="E96" s="114">
        <v>2</v>
      </c>
      <c r="F96" s="54"/>
      <c r="G96" s="232"/>
    </row>
    <row r="97" spans="1:7" x14ac:dyDescent="0.25">
      <c r="A97" s="404"/>
      <c r="B97" s="414"/>
      <c r="C97" s="239"/>
      <c r="D97" s="240"/>
      <c r="E97" s="236"/>
      <c r="F97" s="237"/>
      <c r="G97" s="238"/>
    </row>
    <row r="98" spans="1:7" x14ac:dyDescent="0.25">
      <c r="A98" s="249" t="s">
        <v>1079</v>
      </c>
      <c r="B98" s="207"/>
      <c r="C98" s="220" t="s">
        <v>2139</v>
      </c>
      <c r="D98" s="142" t="s">
        <v>8</v>
      </c>
      <c r="E98" s="219">
        <v>2</v>
      </c>
      <c r="F98" s="242"/>
      <c r="G98" s="232"/>
    </row>
    <row r="99" spans="1:7" x14ac:dyDescent="0.25">
      <c r="A99" s="404"/>
      <c r="B99" s="414"/>
      <c r="C99" s="239"/>
      <c r="D99" s="240"/>
      <c r="E99" s="236"/>
      <c r="F99" s="237"/>
      <c r="G99" s="238"/>
    </row>
    <row r="100" spans="1:7" x14ac:dyDescent="0.25">
      <c r="A100" s="249" t="s">
        <v>1081</v>
      </c>
      <c r="B100" s="229"/>
      <c r="C100" s="220" t="s">
        <v>1072</v>
      </c>
      <c r="D100" s="142" t="s">
        <v>8</v>
      </c>
      <c r="E100" s="219">
        <v>4</v>
      </c>
      <c r="F100" s="242"/>
      <c r="G100" s="232"/>
    </row>
    <row r="101" spans="1:7" x14ac:dyDescent="0.25">
      <c r="A101" s="404"/>
      <c r="B101" s="414"/>
      <c r="C101" s="239"/>
      <c r="D101" s="240"/>
      <c r="E101" s="236"/>
      <c r="F101" s="237"/>
      <c r="G101" s="238"/>
    </row>
    <row r="102" spans="1:7" x14ac:dyDescent="0.25">
      <c r="A102" s="249" t="s">
        <v>1115</v>
      </c>
      <c r="B102" s="229"/>
      <c r="C102" s="220" t="s">
        <v>2140</v>
      </c>
      <c r="D102" s="142" t="s">
        <v>8</v>
      </c>
      <c r="E102" s="219">
        <v>4</v>
      </c>
      <c r="F102" s="242"/>
      <c r="G102" s="232"/>
    </row>
    <row r="103" spans="1:7" x14ac:dyDescent="0.25">
      <c r="A103" s="404"/>
      <c r="B103" s="414"/>
      <c r="C103" s="239"/>
      <c r="D103" s="240"/>
      <c r="E103" s="236"/>
      <c r="F103" s="237"/>
      <c r="G103" s="238"/>
    </row>
    <row r="104" spans="1:7" ht="48" x14ac:dyDescent="0.25">
      <c r="A104" s="214" t="s">
        <v>2099</v>
      </c>
      <c r="B104" s="210"/>
      <c r="C104" s="119" t="s">
        <v>2144</v>
      </c>
      <c r="D104" s="210" t="s">
        <v>8</v>
      </c>
      <c r="E104" s="241">
        <v>2</v>
      </c>
      <c r="F104" s="242"/>
      <c r="G104" s="232"/>
    </row>
    <row r="105" spans="1:7" x14ac:dyDescent="0.25">
      <c r="A105" s="404"/>
      <c r="B105" s="414"/>
      <c r="C105" s="239"/>
      <c r="D105" s="240"/>
      <c r="E105" s="236"/>
      <c r="F105" s="237"/>
      <c r="G105" s="238"/>
    </row>
    <row r="106" spans="1:7" ht="27.75" customHeight="1" x14ac:dyDescent="0.25">
      <c r="A106" s="250"/>
      <c r="B106" s="229"/>
      <c r="C106" s="212" t="s">
        <v>1076</v>
      </c>
      <c r="D106" s="229"/>
      <c r="E106" s="241"/>
      <c r="F106" s="242"/>
      <c r="G106" s="243"/>
    </row>
    <row r="107" spans="1:7" x14ac:dyDescent="0.25">
      <c r="A107" s="404"/>
      <c r="B107" s="414"/>
      <c r="C107" s="239"/>
      <c r="D107" s="240"/>
      <c r="E107" s="236"/>
      <c r="F107" s="237"/>
      <c r="G107" s="238"/>
    </row>
    <row r="108" spans="1:7" x14ac:dyDescent="0.25">
      <c r="A108" s="249" t="s">
        <v>2100</v>
      </c>
      <c r="B108" s="229"/>
      <c r="C108" s="119" t="s">
        <v>2141</v>
      </c>
      <c r="D108" s="210" t="s">
        <v>8</v>
      </c>
      <c r="E108" s="241">
        <v>1</v>
      </c>
      <c r="F108" s="242"/>
      <c r="G108" s="232"/>
    </row>
    <row r="109" spans="1:7" x14ac:dyDescent="0.25">
      <c r="A109" s="404"/>
      <c r="B109" s="414"/>
      <c r="C109" s="239"/>
      <c r="D109" s="240"/>
      <c r="E109" s="236"/>
      <c r="F109" s="237"/>
      <c r="G109" s="238"/>
    </row>
    <row r="110" spans="1:7" x14ac:dyDescent="0.25">
      <c r="A110" s="249" t="s">
        <v>2101</v>
      </c>
      <c r="B110" s="229"/>
      <c r="C110" s="119" t="s">
        <v>2142</v>
      </c>
      <c r="D110" s="210" t="s">
        <v>8</v>
      </c>
      <c r="E110" s="241">
        <v>1</v>
      </c>
      <c r="F110" s="242"/>
      <c r="G110" s="232"/>
    </row>
    <row r="111" spans="1:7" x14ac:dyDescent="0.25">
      <c r="A111" s="404"/>
      <c r="B111" s="414"/>
      <c r="C111" s="239"/>
      <c r="D111" s="240"/>
      <c r="E111" s="236"/>
      <c r="F111" s="237"/>
      <c r="G111" s="238"/>
    </row>
    <row r="112" spans="1:7" ht="24" x14ac:dyDescent="0.25">
      <c r="A112" s="214" t="s">
        <v>2102</v>
      </c>
      <c r="B112" s="229"/>
      <c r="C112" s="119" t="s">
        <v>1077</v>
      </c>
      <c r="D112" s="210" t="s">
        <v>8</v>
      </c>
      <c r="E112" s="241">
        <v>3</v>
      </c>
      <c r="F112" s="242"/>
      <c r="G112" s="232"/>
    </row>
    <row r="113" spans="1:7" x14ac:dyDescent="0.25">
      <c r="A113" s="404"/>
      <c r="B113" s="414"/>
      <c r="C113" s="239"/>
      <c r="D113" s="240"/>
      <c r="E113" s="236"/>
      <c r="F113" s="237"/>
      <c r="G113" s="238"/>
    </row>
    <row r="114" spans="1:7" ht="24" x14ac:dyDescent="0.25">
      <c r="A114" s="214" t="s">
        <v>2103</v>
      </c>
      <c r="B114" s="229"/>
      <c r="C114" s="119" t="s">
        <v>1080</v>
      </c>
      <c r="D114" s="210" t="s">
        <v>8</v>
      </c>
      <c r="E114" s="241">
        <v>2</v>
      </c>
      <c r="F114" s="242"/>
      <c r="G114" s="232"/>
    </row>
    <row r="115" spans="1:7" x14ac:dyDescent="0.25">
      <c r="A115" s="404"/>
      <c r="B115" s="414"/>
      <c r="C115" s="239"/>
      <c r="D115" s="240"/>
      <c r="E115" s="236"/>
      <c r="F115" s="237"/>
      <c r="G115" s="238"/>
    </row>
    <row r="116" spans="1:7" ht="24" x14ac:dyDescent="0.25">
      <c r="A116" s="214" t="s">
        <v>2104</v>
      </c>
      <c r="B116" s="229"/>
      <c r="C116" s="119" t="s">
        <v>1082</v>
      </c>
      <c r="D116" s="210" t="s">
        <v>8</v>
      </c>
      <c r="E116" s="241">
        <v>1</v>
      </c>
      <c r="F116" s="242"/>
      <c r="G116" s="232"/>
    </row>
    <row r="117" spans="1:7" x14ac:dyDescent="0.25">
      <c r="A117" s="404"/>
      <c r="B117" s="414"/>
      <c r="C117" s="239"/>
      <c r="D117" s="240"/>
      <c r="E117" s="236"/>
      <c r="F117" s="237"/>
      <c r="G117" s="238"/>
    </row>
    <row r="118" spans="1:7" ht="62.25" customHeight="1" x14ac:dyDescent="0.25">
      <c r="A118" s="250"/>
      <c r="B118" s="221" t="s">
        <v>2394</v>
      </c>
      <c r="C118" s="212" t="s">
        <v>1118</v>
      </c>
      <c r="D118" s="207"/>
      <c r="E118" s="359"/>
      <c r="F118" s="294"/>
      <c r="G118" s="368"/>
    </row>
    <row r="119" spans="1:7" x14ac:dyDescent="0.25">
      <c r="A119" s="404"/>
      <c r="B119" s="414"/>
      <c r="C119" s="239"/>
      <c r="D119" s="240"/>
      <c r="E119" s="236"/>
      <c r="F119" s="237"/>
      <c r="G119" s="238"/>
    </row>
    <row r="120" spans="1:7" x14ac:dyDescent="0.25">
      <c r="A120" s="249" t="s">
        <v>2105</v>
      </c>
      <c r="B120" s="229"/>
      <c r="C120" s="119" t="s">
        <v>1116</v>
      </c>
      <c r="D120" s="210" t="s">
        <v>8</v>
      </c>
      <c r="E120" s="241">
        <v>2</v>
      </c>
      <c r="F120" s="242"/>
      <c r="G120" s="232"/>
    </row>
    <row r="121" spans="1:7" x14ac:dyDescent="0.25">
      <c r="A121" s="404"/>
      <c r="B121" s="414"/>
      <c r="C121" s="239"/>
      <c r="D121" s="240"/>
      <c r="E121" s="236"/>
      <c r="F121" s="237"/>
      <c r="G121" s="238"/>
    </row>
    <row r="122" spans="1:7" x14ac:dyDescent="0.25">
      <c r="A122" s="249" t="s">
        <v>2106</v>
      </c>
      <c r="B122" s="229"/>
      <c r="C122" s="119" t="s">
        <v>1117</v>
      </c>
      <c r="D122" s="210" t="s">
        <v>8</v>
      </c>
      <c r="E122" s="241">
        <v>2</v>
      </c>
      <c r="F122" s="242"/>
      <c r="G122" s="232"/>
    </row>
    <row r="123" spans="1:7" x14ac:dyDescent="0.25">
      <c r="A123" s="404"/>
      <c r="B123" s="414"/>
      <c r="C123" s="239"/>
      <c r="D123" s="240"/>
      <c r="E123" s="236"/>
      <c r="F123" s="237"/>
      <c r="G123" s="238"/>
    </row>
    <row r="124" spans="1:7" x14ac:dyDescent="0.25">
      <c r="A124" s="214"/>
      <c r="B124" s="229"/>
      <c r="C124" s="119"/>
      <c r="D124" s="210"/>
      <c r="E124" s="241"/>
      <c r="F124" s="242"/>
      <c r="G124" s="255"/>
    </row>
    <row r="125" spans="1:7" x14ac:dyDescent="0.25">
      <c r="A125" s="404"/>
      <c r="B125" s="414"/>
      <c r="C125" s="239"/>
      <c r="D125" s="240"/>
      <c r="E125" s="236"/>
      <c r="F125" s="237"/>
      <c r="G125" s="238"/>
    </row>
    <row r="126" spans="1:7" x14ac:dyDescent="0.25">
      <c r="A126" s="214"/>
      <c r="B126" s="229"/>
      <c r="C126" s="119"/>
      <c r="D126" s="210"/>
      <c r="E126" s="241"/>
      <c r="F126" s="242"/>
      <c r="G126" s="255"/>
    </row>
    <row r="127" spans="1:7" x14ac:dyDescent="0.25">
      <c r="A127" s="404"/>
      <c r="B127" s="414"/>
      <c r="C127" s="239"/>
      <c r="D127" s="240"/>
      <c r="E127" s="236"/>
      <c r="F127" s="237"/>
      <c r="G127" s="238"/>
    </row>
    <row r="128" spans="1:7" ht="28.5" customHeight="1" x14ac:dyDescent="0.25">
      <c r="A128" s="526" t="s">
        <v>609</v>
      </c>
      <c r="B128" s="526"/>
      <c r="C128" s="526"/>
      <c r="D128" s="526"/>
      <c r="E128" s="526"/>
      <c r="F128" s="526"/>
      <c r="G128" s="158"/>
    </row>
    <row r="129" spans="1:7" ht="25.9" customHeight="1" x14ac:dyDescent="0.25">
      <c r="A129" s="526" t="s">
        <v>610</v>
      </c>
      <c r="B129" s="526"/>
      <c r="C129" s="526"/>
      <c r="D129" s="526"/>
      <c r="E129" s="526"/>
      <c r="F129" s="526"/>
      <c r="G129" s="158"/>
    </row>
    <row r="130" spans="1:7" x14ac:dyDescent="0.25">
      <c r="A130" s="404"/>
      <c r="B130" s="414"/>
      <c r="C130" s="239"/>
      <c r="D130" s="240"/>
      <c r="E130" s="236"/>
      <c r="F130" s="237"/>
      <c r="G130" s="238"/>
    </row>
    <row r="131" spans="1:7" ht="88.5" customHeight="1" x14ac:dyDescent="0.25">
      <c r="A131" s="214" t="s">
        <v>1083</v>
      </c>
      <c r="B131" s="210" t="s">
        <v>493</v>
      </c>
      <c r="C131" s="119" t="s">
        <v>2143</v>
      </c>
      <c r="D131" s="210" t="s">
        <v>28</v>
      </c>
      <c r="E131" s="241"/>
      <c r="F131" s="242"/>
      <c r="G131" s="232"/>
    </row>
    <row r="132" spans="1:7" x14ac:dyDescent="0.25">
      <c r="A132" s="404"/>
      <c r="B132" s="414"/>
      <c r="C132" s="239"/>
      <c r="D132" s="240"/>
      <c r="E132" s="236"/>
      <c r="F132" s="237"/>
      <c r="G132" s="238"/>
    </row>
    <row r="133" spans="1:7" x14ac:dyDescent="0.25">
      <c r="A133" s="1"/>
      <c r="B133" s="2"/>
      <c r="C133" s="113"/>
      <c r="D133" s="112"/>
      <c r="E133" s="56"/>
      <c r="F133" s="54"/>
      <c r="G133" s="145"/>
    </row>
    <row r="134" spans="1:7" x14ac:dyDescent="0.25">
      <c r="A134" s="404"/>
      <c r="B134" s="414"/>
      <c r="C134" s="239"/>
      <c r="D134" s="240"/>
      <c r="E134" s="236"/>
      <c r="F134" s="237"/>
      <c r="G134" s="238"/>
    </row>
    <row r="135" spans="1:7" x14ac:dyDescent="0.25">
      <c r="A135" s="118"/>
      <c r="B135" s="2"/>
      <c r="C135" s="113"/>
      <c r="D135" s="112"/>
      <c r="E135" s="56"/>
      <c r="F135" s="54"/>
      <c r="G135" s="145"/>
    </row>
    <row r="136" spans="1:7" x14ac:dyDescent="0.25">
      <c r="A136" s="404"/>
      <c r="B136" s="414"/>
      <c r="C136" s="239"/>
      <c r="D136" s="240"/>
      <c r="E136" s="236"/>
      <c r="F136" s="237"/>
      <c r="G136" s="238"/>
    </row>
    <row r="137" spans="1:7" x14ac:dyDescent="0.25">
      <c r="A137" s="118"/>
      <c r="B137" s="2"/>
      <c r="C137" s="113"/>
      <c r="D137" s="112"/>
      <c r="E137" s="56"/>
      <c r="F137" s="54"/>
      <c r="G137" s="145"/>
    </row>
    <row r="138" spans="1:7" ht="11.85" customHeight="1" x14ac:dyDescent="0.25">
      <c r="A138" s="404"/>
      <c r="B138" s="414"/>
      <c r="C138" s="239"/>
      <c r="D138" s="240"/>
      <c r="E138" s="236"/>
      <c r="F138" s="237"/>
      <c r="G138" s="238"/>
    </row>
    <row r="139" spans="1:7" x14ac:dyDescent="0.25">
      <c r="A139" s="118"/>
      <c r="B139" s="2"/>
      <c r="C139" s="113"/>
      <c r="D139" s="112"/>
      <c r="E139" s="56"/>
      <c r="F139" s="54"/>
      <c r="G139" s="145"/>
    </row>
    <row r="140" spans="1:7" x14ac:dyDescent="0.25">
      <c r="A140" s="404"/>
      <c r="B140" s="414"/>
      <c r="C140" s="239"/>
      <c r="D140" s="240"/>
      <c r="E140" s="236"/>
      <c r="F140" s="237"/>
      <c r="G140" s="238"/>
    </row>
    <row r="141" spans="1:7" x14ac:dyDescent="0.25">
      <c r="A141" s="118"/>
      <c r="B141" s="2"/>
      <c r="C141" s="113"/>
      <c r="D141" s="112"/>
      <c r="E141" s="56"/>
      <c r="F141" s="54"/>
      <c r="G141" s="145"/>
    </row>
    <row r="142" spans="1:7" x14ac:dyDescent="0.25">
      <c r="A142" s="404"/>
      <c r="B142" s="414"/>
      <c r="C142" s="239"/>
      <c r="D142" s="240"/>
      <c r="E142" s="236"/>
      <c r="F142" s="237"/>
      <c r="G142" s="238"/>
    </row>
    <row r="143" spans="1:7" s="32" customFormat="1" x14ac:dyDescent="0.25">
      <c r="A143" s="118"/>
      <c r="B143" s="2"/>
      <c r="C143" s="113"/>
      <c r="D143" s="112"/>
      <c r="E143" s="56"/>
      <c r="F143" s="54"/>
      <c r="G143" s="145"/>
    </row>
    <row r="144" spans="1:7" s="32" customFormat="1" x14ac:dyDescent="0.25">
      <c r="A144" s="404"/>
      <c r="B144" s="414"/>
      <c r="C144" s="239"/>
      <c r="D144" s="240"/>
      <c r="E144" s="236"/>
      <c r="F144" s="237"/>
      <c r="G144" s="238"/>
    </row>
    <row r="145" spans="1:7" s="32" customFormat="1" x14ac:dyDescent="0.25">
      <c r="A145" s="118"/>
      <c r="B145" s="2"/>
      <c r="C145" s="113"/>
      <c r="D145" s="112"/>
      <c r="E145" s="56"/>
      <c r="F145" s="54"/>
      <c r="G145" s="145"/>
    </row>
    <row r="146" spans="1:7" s="32" customFormat="1" x14ac:dyDescent="0.25">
      <c r="A146" s="404"/>
      <c r="B146" s="414"/>
      <c r="C146" s="239"/>
      <c r="D146" s="240"/>
      <c r="E146" s="236"/>
      <c r="F146" s="237"/>
      <c r="G146" s="238"/>
    </row>
    <row r="147" spans="1:7" s="32" customFormat="1" x14ac:dyDescent="0.25">
      <c r="A147" s="118"/>
      <c r="B147" s="2"/>
      <c r="C147" s="113"/>
      <c r="D147" s="112"/>
      <c r="E147" s="56"/>
      <c r="F147" s="54"/>
      <c r="G147" s="145"/>
    </row>
    <row r="148" spans="1:7" s="32" customFormat="1" x14ac:dyDescent="0.25">
      <c r="A148" s="404"/>
      <c r="B148" s="414"/>
      <c r="C148" s="239"/>
      <c r="D148" s="240"/>
      <c r="E148" s="236"/>
      <c r="F148" s="237"/>
      <c r="G148" s="238"/>
    </row>
    <row r="149" spans="1:7" s="32" customFormat="1" x14ac:dyDescent="0.25">
      <c r="A149" s="118"/>
      <c r="B149" s="2"/>
      <c r="C149" s="113"/>
      <c r="D149" s="112"/>
      <c r="E149" s="56"/>
      <c r="F149" s="54"/>
      <c r="G149" s="145"/>
    </row>
    <row r="150" spans="1:7" s="32" customFormat="1" x14ac:dyDescent="0.25">
      <c r="A150" s="404"/>
      <c r="B150" s="414"/>
      <c r="C150" s="239"/>
      <c r="D150" s="240"/>
      <c r="E150" s="236"/>
      <c r="F150" s="237"/>
      <c r="G150" s="238"/>
    </row>
    <row r="151" spans="1:7" s="32" customFormat="1" x14ac:dyDescent="0.25">
      <c r="A151" s="118"/>
      <c r="B151" s="2"/>
      <c r="C151" s="113"/>
      <c r="D151" s="112"/>
      <c r="E151" s="56"/>
      <c r="F151" s="54"/>
      <c r="G151" s="145"/>
    </row>
    <row r="152" spans="1:7" s="32" customFormat="1" x14ac:dyDescent="0.25">
      <c r="A152" s="404"/>
      <c r="B152" s="414"/>
      <c r="C152" s="239"/>
      <c r="D152" s="240"/>
      <c r="E152" s="236"/>
      <c r="F152" s="237"/>
      <c r="G152" s="238"/>
    </row>
    <row r="153" spans="1:7" s="32" customFormat="1" x14ac:dyDescent="0.25">
      <c r="A153" s="118"/>
      <c r="B153" s="2"/>
      <c r="C153" s="113"/>
      <c r="D153" s="112"/>
      <c r="E153" s="56"/>
      <c r="F153" s="54"/>
      <c r="G153" s="145"/>
    </row>
    <row r="154" spans="1:7" s="32" customFormat="1" x14ac:dyDescent="0.25">
      <c r="A154" s="404"/>
      <c r="B154" s="414"/>
      <c r="C154" s="239"/>
      <c r="D154" s="240"/>
      <c r="E154" s="236"/>
      <c r="F154" s="237"/>
      <c r="G154" s="238"/>
    </row>
    <row r="155" spans="1:7" s="32" customFormat="1" x14ac:dyDescent="0.25">
      <c r="A155" s="118"/>
      <c r="B155" s="2"/>
      <c r="C155" s="113"/>
      <c r="D155" s="112"/>
      <c r="E155" s="56"/>
      <c r="F155" s="54"/>
      <c r="G155" s="145"/>
    </row>
    <row r="156" spans="1:7" s="32" customFormat="1" x14ac:dyDescent="0.25">
      <c r="A156" s="404"/>
      <c r="B156" s="414"/>
      <c r="C156" s="239"/>
      <c r="D156" s="240"/>
      <c r="E156" s="236"/>
      <c r="F156" s="237"/>
      <c r="G156" s="238"/>
    </row>
    <row r="157" spans="1:7" s="32" customFormat="1" x14ac:dyDescent="0.25">
      <c r="A157" s="118"/>
      <c r="B157" s="2"/>
      <c r="C157" s="113"/>
      <c r="D157" s="112"/>
      <c r="E157" s="56"/>
      <c r="F157" s="54"/>
      <c r="G157" s="145"/>
    </row>
    <row r="158" spans="1:7" s="32" customFormat="1" x14ac:dyDescent="0.25">
      <c r="A158" s="404"/>
      <c r="B158" s="414"/>
      <c r="C158" s="239"/>
      <c r="D158" s="240"/>
      <c r="E158" s="236"/>
      <c r="F158" s="237"/>
      <c r="G158" s="238"/>
    </row>
    <row r="159" spans="1:7" s="32" customFormat="1" x14ac:dyDescent="0.25">
      <c r="A159" s="118"/>
      <c r="B159" s="2"/>
      <c r="C159" s="113"/>
      <c r="D159" s="112"/>
      <c r="E159" s="56"/>
      <c r="F159" s="54"/>
      <c r="G159" s="145"/>
    </row>
    <row r="160" spans="1:7" s="32" customFormat="1" x14ac:dyDescent="0.25">
      <c r="A160" s="404"/>
      <c r="B160" s="414"/>
      <c r="C160" s="239"/>
      <c r="D160" s="240"/>
      <c r="E160" s="236"/>
      <c r="F160" s="237"/>
      <c r="G160" s="238"/>
    </row>
    <row r="161" spans="1:7" s="32" customFormat="1" x14ac:dyDescent="0.25">
      <c r="A161" s="118"/>
      <c r="B161" s="2"/>
      <c r="C161" s="113"/>
      <c r="D161" s="112"/>
      <c r="E161" s="56"/>
      <c r="F161" s="54"/>
      <c r="G161" s="145"/>
    </row>
    <row r="162" spans="1:7" s="32" customFormat="1" x14ac:dyDescent="0.25">
      <c r="A162" s="404"/>
      <c r="B162" s="414"/>
      <c r="C162" s="239"/>
      <c r="D162" s="240"/>
      <c r="E162" s="236"/>
      <c r="F162" s="237"/>
      <c r="G162" s="238"/>
    </row>
    <row r="163" spans="1:7" s="32" customFormat="1" x14ac:dyDescent="0.25">
      <c r="A163" s="118"/>
      <c r="B163" s="2"/>
      <c r="C163" s="113"/>
      <c r="D163" s="112"/>
      <c r="E163" s="56"/>
      <c r="F163" s="54"/>
      <c r="G163" s="145"/>
    </row>
    <row r="164" spans="1:7" s="32" customFormat="1" x14ac:dyDescent="0.25">
      <c r="A164" s="404"/>
      <c r="B164" s="414"/>
      <c r="C164" s="239"/>
      <c r="D164" s="240"/>
      <c r="E164" s="236"/>
      <c r="F164" s="237"/>
      <c r="G164" s="238"/>
    </row>
    <row r="165" spans="1:7" s="32" customFormat="1" x14ac:dyDescent="0.25">
      <c r="A165" s="118"/>
      <c r="B165" s="2"/>
      <c r="C165" s="113"/>
      <c r="D165" s="112"/>
      <c r="E165" s="56"/>
      <c r="F165" s="54"/>
      <c r="G165" s="145"/>
    </row>
    <row r="166" spans="1:7" s="32" customFormat="1" x14ac:dyDescent="0.25">
      <c r="A166" s="404"/>
      <c r="B166" s="414"/>
      <c r="C166" s="239"/>
      <c r="D166" s="240"/>
      <c r="E166" s="236"/>
      <c r="F166" s="237"/>
      <c r="G166" s="238"/>
    </row>
    <row r="167" spans="1:7" s="32" customFormat="1" x14ac:dyDescent="0.25">
      <c r="A167" s="118"/>
      <c r="B167" s="2"/>
      <c r="C167" s="113"/>
      <c r="D167" s="112"/>
      <c r="E167" s="56"/>
      <c r="F167" s="54"/>
      <c r="G167" s="145"/>
    </row>
    <row r="168" spans="1:7" s="32" customFormat="1" x14ac:dyDescent="0.25">
      <c r="A168" s="404"/>
      <c r="B168" s="414"/>
      <c r="C168" s="239"/>
      <c r="D168" s="240"/>
      <c r="E168" s="236"/>
      <c r="F168" s="237"/>
      <c r="G168" s="238"/>
    </row>
    <row r="169" spans="1:7" s="32" customFormat="1" x14ac:dyDescent="0.25">
      <c r="A169" s="118"/>
      <c r="B169" s="2"/>
      <c r="C169" s="113"/>
      <c r="D169" s="112"/>
      <c r="E169" s="56"/>
      <c r="F169" s="54"/>
      <c r="G169" s="145"/>
    </row>
    <row r="170" spans="1:7" s="32" customFormat="1" x14ac:dyDescent="0.25">
      <c r="A170" s="404"/>
      <c r="B170" s="414"/>
      <c r="C170" s="239"/>
      <c r="D170" s="240"/>
      <c r="E170" s="236"/>
      <c r="F170" s="237"/>
      <c r="G170" s="238"/>
    </row>
    <row r="171" spans="1:7" s="32" customFormat="1" x14ac:dyDescent="0.25">
      <c r="A171" s="118"/>
      <c r="B171" s="2"/>
      <c r="C171" s="113"/>
      <c r="D171" s="112"/>
      <c r="E171" s="56"/>
      <c r="F171" s="54"/>
      <c r="G171" s="145"/>
    </row>
    <row r="172" spans="1:7" s="32" customFormat="1" x14ac:dyDescent="0.25">
      <c r="A172" s="404"/>
      <c r="B172" s="414"/>
      <c r="C172" s="239"/>
      <c r="D172" s="240"/>
      <c r="E172" s="236"/>
      <c r="F172" s="237"/>
      <c r="G172" s="238"/>
    </row>
    <row r="173" spans="1:7" s="32" customFormat="1" x14ac:dyDescent="0.25">
      <c r="A173" s="118"/>
      <c r="B173" s="2"/>
      <c r="C173" s="113"/>
      <c r="D173" s="112"/>
      <c r="E173" s="56"/>
      <c r="F173" s="54"/>
      <c r="G173" s="145"/>
    </row>
    <row r="174" spans="1:7" s="32" customFormat="1" x14ac:dyDescent="0.25">
      <c r="A174" s="404"/>
      <c r="B174" s="414"/>
      <c r="C174" s="239"/>
      <c r="D174" s="240"/>
      <c r="E174" s="236"/>
      <c r="F174" s="237"/>
      <c r="G174" s="238"/>
    </row>
    <row r="175" spans="1:7" s="32" customFormat="1" x14ac:dyDescent="0.25">
      <c r="A175" s="118"/>
      <c r="B175" s="2"/>
      <c r="C175" s="113"/>
      <c r="D175" s="112"/>
      <c r="E175" s="56"/>
      <c r="F175" s="54"/>
      <c r="G175" s="145"/>
    </row>
    <row r="176" spans="1:7" s="32" customFormat="1" x14ac:dyDescent="0.25">
      <c r="A176" s="404"/>
      <c r="B176" s="414"/>
      <c r="C176" s="239"/>
      <c r="D176" s="240"/>
      <c r="E176" s="236"/>
      <c r="F176" s="237"/>
      <c r="G176" s="238"/>
    </row>
    <row r="177" spans="1:7" ht="28.5" customHeight="1" x14ac:dyDescent="0.25">
      <c r="A177" s="526" t="s">
        <v>2396</v>
      </c>
      <c r="B177" s="526"/>
      <c r="C177" s="526"/>
      <c r="D177" s="526"/>
      <c r="E177" s="526"/>
      <c r="F177" s="526"/>
      <c r="G177" s="159"/>
    </row>
    <row r="178" spans="1:7" s="32" customFormat="1" x14ac:dyDescent="0.25">
      <c r="A178" s="118"/>
      <c r="B178" s="2"/>
      <c r="C178" s="113"/>
      <c r="D178" s="112"/>
      <c r="E178" s="56"/>
      <c r="F178" s="54"/>
      <c r="G178" s="145"/>
    </row>
    <row r="179" spans="1:7" s="32" customFormat="1" x14ac:dyDescent="0.25">
      <c r="A179" s="118"/>
      <c r="B179" s="2"/>
      <c r="C179" s="113"/>
      <c r="D179" s="112"/>
      <c r="E179" s="56"/>
      <c r="F179" s="54"/>
      <c r="G179" s="145"/>
    </row>
    <row r="180" spans="1:7" s="32" customFormat="1" x14ac:dyDescent="0.25">
      <c r="A180" s="118"/>
      <c r="B180" s="2"/>
      <c r="C180" s="113"/>
      <c r="D180" s="112"/>
      <c r="E180" s="56"/>
      <c r="F180" s="54"/>
      <c r="G180" s="145"/>
    </row>
    <row r="181" spans="1:7" s="32" customFormat="1" x14ac:dyDescent="0.25">
      <c r="A181" s="118"/>
      <c r="B181" s="2"/>
      <c r="C181" s="113"/>
      <c r="D181" s="112"/>
      <c r="E181" s="56"/>
      <c r="F181" s="54"/>
      <c r="G181" s="145"/>
    </row>
    <row r="182" spans="1:7" s="32" customFormat="1" x14ac:dyDescent="0.25">
      <c r="A182" s="118"/>
      <c r="B182" s="2"/>
      <c r="C182" s="113"/>
      <c r="D182" s="112"/>
      <c r="E182" s="56"/>
      <c r="F182" s="54"/>
      <c r="G182" s="145"/>
    </row>
    <row r="183" spans="1:7" s="32" customFormat="1" x14ac:dyDescent="0.25">
      <c r="A183" s="118"/>
      <c r="B183" s="2"/>
      <c r="C183" s="113"/>
      <c r="D183" s="112"/>
      <c r="E183" s="56"/>
      <c r="F183" s="54"/>
      <c r="G183" s="145"/>
    </row>
    <row r="184" spans="1:7" s="32" customFormat="1" x14ac:dyDescent="0.25">
      <c r="A184" s="118"/>
      <c r="B184" s="2"/>
      <c r="C184" s="113"/>
      <c r="D184" s="112"/>
      <c r="E184" s="56"/>
      <c r="F184" s="54"/>
      <c r="G184" s="145"/>
    </row>
    <row r="185" spans="1:7" s="32" customFormat="1" x14ac:dyDescent="0.25">
      <c r="A185" s="118"/>
      <c r="B185" s="2"/>
      <c r="C185" s="113"/>
      <c r="D185" s="112"/>
      <c r="E185" s="56"/>
      <c r="F185" s="54"/>
      <c r="G185" s="145"/>
    </row>
    <row r="186" spans="1:7" s="32" customFormat="1" x14ac:dyDescent="0.25">
      <c r="A186" s="118"/>
      <c r="B186" s="2"/>
      <c r="C186" s="113"/>
      <c r="D186" s="112"/>
      <c r="E186" s="56"/>
      <c r="F186" s="54"/>
      <c r="G186" s="145"/>
    </row>
    <row r="187" spans="1:7" s="32" customFormat="1" x14ac:dyDescent="0.25">
      <c r="A187" s="118"/>
      <c r="B187" s="2"/>
      <c r="C187" s="113"/>
      <c r="D187" s="112"/>
      <c r="E187" s="56"/>
      <c r="F187" s="54"/>
      <c r="G187" s="145"/>
    </row>
    <row r="188" spans="1:7" s="32" customFormat="1" x14ac:dyDescent="0.25">
      <c r="A188" s="118"/>
      <c r="B188" s="2"/>
      <c r="C188" s="113"/>
      <c r="D188" s="112"/>
      <c r="E188" s="56"/>
      <c r="F188" s="54"/>
      <c r="G188" s="145"/>
    </row>
    <row r="189" spans="1:7" s="32" customFormat="1" x14ac:dyDescent="0.25">
      <c r="A189" s="118"/>
      <c r="B189" s="2"/>
      <c r="C189" s="113"/>
      <c r="D189" s="112"/>
      <c r="E189" s="56"/>
      <c r="F189" s="54"/>
      <c r="G189" s="145"/>
    </row>
    <row r="190" spans="1:7" s="32" customFormat="1" x14ac:dyDescent="0.25">
      <c r="A190" s="118"/>
      <c r="B190" s="2"/>
      <c r="C190" s="113"/>
      <c r="D190" s="112"/>
      <c r="E190" s="56"/>
      <c r="F190" s="54"/>
      <c r="G190" s="145"/>
    </row>
    <row r="191" spans="1:7" s="32" customFormat="1" x14ac:dyDescent="0.25">
      <c r="A191" s="118"/>
      <c r="B191" s="2"/>
      <c r="C191" s="113"/>
      <c r="D191" s="112"/>
      <c r="E191" s="56"/>
      <c r="F191" s="54"/>
      <c r="G191" s="145"/>
    </row>
    <row r="192" spans="1:7" s="32" customFormat="1" x14ac:dyDescent="0.25">
      <c r="C192" s="39"/>
      <c r="E192" s="59"/>
      <c r="F192" s="68"/>
    </row>
    <row r="193" spans="3:6" s="32" customFormat="1" x14ac:dyDescent="0.25">
      <c r="C193" s="39"/>
      <c r="E193" s="59"/>
      <c r="F193" s="68"/>
    </row>
    <row r="194" spans="3:6" s="32" customFormat="1" x14ac:dyDescent="0.25">
      <c r="C194" s="39"/>
      <c r="E194" s="59"/>
      <c r="F194" s="68"/>
    </row>
    <row r="195" spans="3:6" s="32" customFormat="1" x14ac:dyDescent="0.25">
      <c r="C195" s="39"/>
      <c r="E195" s="59"/>
      <c r="F195" s="68"/>
    </row>
    <row r="196" spans="3:6" s="32" customFormat="1" x14ac:dyDescent="0.25">
      <c r="C196" s="39"/>
      <c r="E196" s="59"/>
      <c r="F196" s="68"/>
    </row>
    <row r="197" spans="3:6" s="32" customFormat="1" x14ac:dyDescent="0.25">
      <c r="C197" s="39"/>
      <c r="E197" s="59"/>
      <c r="F197" s="68"/>
    </row>
    <row r="198" spans="3:6" s="32" customFormat="1" x14ac:dyDescent="0.25">
      <c r="C198" s="39"/>
      <c r="E198" s="59"/>
      <c r="F198" s="68"/>
    </row>
    <row r="199" spans="3:6" s="32" customFormat="1" x14ac:dyDescent="0.25">
      <c r="C199" s="39"/>
      <c r="E199" s="59"/>
      <c r="F199" s="68"/>
    </row>
    <row r="200" spans="3:6" s="32" customFormat="1" x14ac:dyDescent="0.25">
      <c r="C200" s="39"/>
      <c r="E200" s="59"/>
      <c r="F200" s="68"/>
    </row>
    <row r="201" spans="3:6" s="32" customFormat="1" x14ac:dyDescent="0.25">
      <c r="C201" s="39"/>
      <c r="E201" s="59"/>
      <c r="F201" s="68"/>
    </row>
    <row r="202" spans="3:6" s="32" customFormat="1" x14ac:dyDescent="0.25">
      <c r="C202" s="39"/>
      <c r="E202" s="59"/>
      <c r="F202" s="68"/>
    </row>
    <row r="203" spans="3:6" s="32" customFormat="1" x14ac:dyDescent="0.25">
      <c r="C203" s="39"/>
      <c r="E203" s="59"/>
      <c r="F203" s="68"/>
    </row>
    <row r="204" spans="3:6" s="32" customFormat="1" x14ac:dyDescent="0.25">
      <c r="C204" s="39"/>
      <c r="E204" s="59"/>
      <c r="F204" s="68"/>
    </row>
    <row r="205" spans="3:6" s="32" customFormat="1" x14ac:dyDescent="0.25">
      <c r="C205" s="39"/>
      <c r="E205" s="59"/>
      <c r="F205" s="68"/>
    </row>
    <row r="206" spans="3:6" s="32" customFormat="1" x14ac:dyDescent="0.25">
      <c r="C206" s="39"/>
      <c r="E206" s="59"/>
      <c r="F206" s="68"/>
    </row>
    <row r="207" spans="3:6" s="32" customFormat="1" x14ac:dyDescent="0.25">
      <c r="C207" s="39"/>
      <c r="E207" s="59"/>
      <c r="F207" s="68"/>
    </row>
    <row r="208" spans="3:6" s="32" customFormat="1" x14ac:dyDescent="0.25">
      <c r="C208" s="39"/>
      <c r="E208" s="59"/>
      <c r="F208" s="68"/>
    </row>
    <row r="209" spans="3:6" s="32" customFormat="1" x14ac:dyDescent="0.25">
      <c r="C209" s="39"/>
      <c r="E209" s="59"/>
      <c r="F209" s="68"/>
    </row>
    <row r="210" spans="3:6" s="32" customFormat="1" x14ac:dyDescent="0.25">
      <c r="C210" s="39"/>
      <c r="E210" s="59"/>
      <c r="F210" s="68"/>
    </row>
    <row r="211" spans="3:6" s="32" customFormat="1" x14ac:dyDescent="0.25">
      <c r="C211" s="39"/>
      <c r="E211" s="59"/>
      <c r="F211" s="68"/>
    </row>
    <row r="212" spans="3:6" s="32" customFormat="1" x14ac:dyDescent="0.25">
      <c r="C212" s="39"/>
      <c r="E212" s="59"/>
      <c r="F212" s="68"/>
    </row>
    <row r="213" spans="3:6" s="32" customFormat="1" x14ac:dyDescent="0.25">
      <c r="C213" s="39"/>
      <c r="E213" s="59"/>
      <c r="F213" s="68"/>
    </row>
    <row r="214" spans="3:6" s="32" customFormat="1" x14ac:dyDescent="0.25">
      <c r="C214" s="39"/>
      <c r="E214" s="59"/>
      <c r="F214" s="68"/>
    </row>
    <row r="215" spans="3:6" s="32" customFormat="1" x14ac:dyDescent="0.25">
      <c r="C215" s="39"/>
      <c r="E215" s="59"/>
      <c r="F215" s="68"/>
    </row>
    <row r="216" spans="3:6" s="32" customFormat="1" x14ac:dyDescent="0.25">
      <c r="C216" s="39"/>
      <c r="E216" s="59"/>
      <c r="F216" s="68"/>
    </row>
    <row r="217" spans="3:6" s="32" customFormat="1" x14ac:dyDescent="0.25">
      <c r="C217" s="39"/>
      <c r="E217" s="59"/>
      <c r="F217" s="68"/>
    </row>
    <row r="218" spans="3:6" s="32" customFormat="1" x14ac:dyDescent="0.25">
      <c r="C218" s="39"/>
      <c r="E218" s="59"/>
      <c r="F218" s="68"/>
    </row>
    <row r="219" spans="3:6" s="32" customFormat="1" x14ac:dyDescent="0.25">
      <c r="C219" s="39"/>
      <c r="E219" s="59"/>
      <c r="F219" s="68"/>
    </row>
    <row r="220" spans="3:6" s="32" customFormat="1" x14ac:dyDescent="0.25">
      <c r="C220" s="39"/>
      <c r="E220" s="59"/>
      <c r="F220" s="68"/>
    </row>
    <row r="221" spans="3:6" s="32" customFormat="1" x14ac:dyDescent="0.25">
      <c r="C221" s="39"/>
      <c r="E221" s="59"/>
      <c r="F221" s="68"/>
    </row>
    <row r="222" spans="3:6" s="32" customFormat="1" x14ac:dyDescent="0.25">
      <c r="C222" s="39"/>
      <c r="E222" s="59"/>
      <c r="F222" s="68"/>
    </row>
    <row r="223" spans="3:6" s="32" customFormat="1" x14ac:dyDescent="0.25">
      <c r="C223" s="39"/>
      <c r="E223" s="59"/>
      <c r="F223" s="68"/>
    </row>
    <row r="224" spans="3:6" s="32" customFormat="1" x14ac:dyDescent="0.25">
      <c r="C224" s="39"/>
      <c r="E224" s="59"/>
      <c r="F224" s="68"/>
    </row>
    <row r="225" spans="3:6" s="32" customFormat="1" x14ac:dyDescent="0.25">
      <c r="C225" s="39"/>
      <c r="E225" s="59"/>
      <c r="F225" s="68"/>
    </row>
    <row r="226" spans="3:6" s="32" customFormat="1" x14ac:dyDescent="0.25">
      <c r="C226" s="39"/>
      <c r="E226" s="59"/>
      <c r="F226" s="68"/>
    </row>
    <row r="227" spans="3:6" s="32" customFormat="1" x14ac:dyDescent="0.25">
      <c r="C227" s="39"/>
      <c r="E227" s="59"/>
      <c r="F227" s="68"/>
    </row>
    <row r="228" spans="3:6" s="32" customFormat="1" x14ac:dyDescent="0.25">
      <c r="C228" s="39"/>
      <c r="E228" s="59"/>
      <c r="F228" s="68"/>
    </row>
    <row r="229" spans="3:6" s="32" customFormat="1" x14ac:dyDescent="0.25">
      <c r="C229" s="39"/>
      <c r="E229" s="59"/>
      <c r="F229" s="68"/>
    </row>
    <row r="230" spans="3:6" s="32" customFormat="1" x14ac:dyDescent="0.25">
      <c r="C230" s="39"/>
      <c r="E230" s="59"/>
      <c r="F230" s="68"/>
    </row>
    <row r="231" spans="3:6" s="32" customFormat="1" x14ac:dyDescent="0.25">
      <c r="C231" s="39"/>
      <c r="E231" s="59"/>
      <c r="F231" s="68"/>
    </row>
    <row r="232" spans="3:6" s="32" customFormat="1" x14ac:dyDescent="0.25">
      <c r="C232" s="39"/>
      <c r="E232" s="59"/>
      <c r="F232" s="68"/>
    </row>
    <row r="233" spans="3:6" s="32" customFormat="1" x14ac:dyDescent="0.25">
      <c r="C233" s="39"/>
      <c r="E233" s="59"/>
      <c r="F233" s="68"/>
    </row>
    <row r="234" spans="3:6" s="32" customFormat="1" x14ac:dyDescent="0.25">
      <c r="C234" s="39"/>
      <c r="E234" s="59"/>
      <c r="F234" s="68"/>
    </row>
    <row r="235" spans="3:6" s="32" customFormat="1" x14ac:dyDescent="0.25">
      <c r="C235" s="39"/>
      <c r="E235" s="59"/>
      <c r="F235" s="68"/>
    </row>
    <row r="236" spans="3:6" s="32" customFormat="1" x14ac:dyDescent="0.25">
      <c r="C236" s="39"/>
      <c r="E236" s="59"/>
      <c r="F236" s="68"/>
    </row>
    <row r="237" spans="3:6" s="32" customFormat="1" x14ac:dyDescent="0.25">
      <c r="C237" s="39"/>
      <c r="E237" s="59"/>
      <c r="F237" s="68"/>
    </row>
    <row r="238" spans="3:6" s="32" customFormat="1" x14ac:dyDescent="0.25">
      <c r="C238" s="39"/>
      <c r="E238" s="59"/>
      <c r="F238" s="68"/>
    </row>
    <row r="239" spans="3:6" s="32" customFormat="1" x14ac:dyDescent="0.25">
      <c r="C239" s="39"/>
      <c r="E239" s="59"/>
      <c r="F239" s="68"/>
    </row>
    <row r="240" spans="3:6" s="32" customFormat="1" x14ac:dyDescent="0.25">
      <c r="C240" s="39"/>
      <c r="E240" s="59"/>
      <c r="F240" s="68"/>
    </row>
    <row r="241" spans="3:6" s="32" customFormat="1" x14ac:dyDescent="0.25">
      <c r="C241" s="39"/>
      <c r="E241" s="59"/>
      <c r="F241" s="68"/>
    </row>
    <row r="242" spans="3:6" s="32" customFormat="1" x14ac:dyDescent="0.25">
      <c r="C242" s="39"/>
      <c r="E242" s="59"/>
      <c r="F242" s="68"/>
    </row>
    <row r="243" spans="3:6" s="32" customFormat="1" x14ac:dyDescent="0.25">
      <c r="C243" s="39"/>
      <c r="E243" s="59"/>
      <c r="F243" s="68"/>
    </row>
    <row r="244" spans="3:6" s="32" customFormat="1" x14ac:dyDescent="0.25">
      <c r="C244" s="39"/>
      <c r="E244" s="59"/>
      <c r="F244" s="68"/>
    </row>
    <row r="245" spans="3:6" s="32" customFormat="1" x14ac:dyDescent="0.25">
      <c r="C245" s="39"/>
      <c r="E245" s="59"/>
      <c r="F245" s="68"/>
    </row>
    <row r="246" spans="3:6" s="32" customFormat="1" x14ac:dyDescent="0.25">
      <c r="C246" s="39"/>
      <c r="E246" s="59"/>
      <c r="F246" s="68"/>
    </row>
    <row r="247" spans="3:6" s="32" customFormat="1" x14ac:dyDescent="0.25">
      <c r="C247" s="39"/>
      <c r="E247" s="59"/>
      <c r="F247" s="68"/>
    </row>
    <row r="248" spans="3:6" s="32" customFormat="1" x14ac:dyDescent="0.25">
      <c r="C248" s="39"/>
      <c r="E248" s="59"/>
      <c r="F248" s="68"/>
    </row>
    <row r="249" spans="3:6" s="32" customFormat="1" x14ac:dyDescent="0.25">
      <c r="C249" s="39"/>
      <c r="E249" s="59"/>
      <c r="F249" s="68"/>
    </row>
    <row r="250" spans="3:6" s="32" customFormat="1" x14ac:dyDescent="0.25">
      <c r="C250" s="39"/>
      <c r="E250" s="59"/>
      <c r="F250" s="68"/>
    </row>
    <row r="251" spans="3:6" s="32" customFormat="1" x14ac:dyDescent="0.25">
      <c r="C251" s="39"/>
      <c r="E251" s="59"/>
      <c r="F251" s="68"/>
    </row>
    <row r="252" spans="3:6" s="32" customFormat="1" x14ac:dyDescent="0.25">
      <c r="C252" s="39"/>
      <c r="E252" s="59"/>
      <c r="F252" s="68"/>
    </row>
    <row r="253" spans="3:6" s="32" customFormat="1" x14ac:dyDescent="0.25">
      <c r="C253" s="39"/>
      <c r="E253" s="59"/>
      <c r="F253" s="68"/>
    </row>
    <row r="254" spans="3:6" s="32" customFormat="1" x14ac:dyDescent="0.25">
      <c r="C254" s="39"/>
      <c r="E254" s="59"/>
      <c r="F254" s="68"/>
    </row>
    <row r="255" spans="3:6" s="32" customFormat="1" x14ac:dyDescent="0.25">
      <c r="C255" s="39"/>
      <c r="E255" s="59"/>
      <c r="F255" s="68"/>
    </row>
    <row r="256" spans="3:6" s="32" customFormat="1" x14ac:dyDescent="0.25">
      <c r="C256" s="39"/>
      <c r="E256" s="59"/>
      <c r="F256" s="68"/>
    </row>
    <row r="257" spans="3:6" s="32" customFormat="1" x14ac:dyDescent="0.25">
      <c r="C257" s="39"/>
      <c r="E257" s="59"/>
      <c r="F257" s="68"/>
    </row>
    <row r="258" spans="3:6" s="32" customFormat="1" x14ac:dyDescent="0.25">
      <c r="C258" s="39"/>
      <c r="E258" s="59"/>
      <c r="F258" s="68"/>
    </row>
    <row r="259" spans="3:6" s="32" customFormat="1" x14ac:dyDescent="0.25">
      <c r="C259" s="39"/>
      <c r="E259" s="59"/>
      <c r="F259" s="68"/>
    </row>
    <row r="260" spans="3:6" s="32" customFormat="1" x14ac:dyDescent="0.25">
      <c r="C260" s="39"/>
      <c r="E260" s="59"/>
      <c r="F260" s="68"/>
    </row>
    <row r="261" spans="3:6" s="32" customFormat="1" x14ac:dyDescent="0.25">
      <c r="C261" s="39"/>
      <c r="E261" s="59"/>
      <c r="F261" s="68"/>
    </row>
    <row r="262" spans="3:6" s="32" customFormat="1" x14ac:dyDescent="0.25">
      <c r="C262" s="39"/>
      <c r="E262" s="59"/>
      <c r="F262" s="68"/>
    </row>
    <row r="263" spans="3:6" s="32" customFormat="1" x14ac:dyDescent="0.25">
      <c r="C263" s="39"/>
      <c r="E263" s="59"/>
      <c r="F263" s="68"/>
    </row>
    <row r="264" spans="3:6" s="32" customFormat="1" x14ac:dyDescent="0.25">
      <c r="C264" s="39"/>
      <c r="E264" s="59"/>
      <c r="F264" s="68"/>
    </row>
    <row r="265" spans="3:6" s="32" customFormat="1" x14ac:dyDescent="0.25">
      <c r="C265" s="39"/>
      <c r="E265" s="59"/>
      <c r="F265" s="68"/>
    </row>
    <row r="266" spans="3:6" s="32" customFormat="1" x14ac:dyDescent="0.25">
      <c r="C266" s="39"/>
      <c r="E266" s="59"/>
      <c r="F266" s="68"/>
    </row>
    <row r="267" spans="3:6" s="32" customFormat="1" x14ac:dyDescent="0.25">
      <c r="C267" s="39"/>
      <c r="E267" s="59"/>
      <c r="F267" s="68"/>
    </row>
    <row r="268" spans="3:6" s="32" customFormat="1" x14ac:dyDescent="0.25">
      <c r="C268" s="39"/>
      <c r="E268" s="59"/>
      <c r="F268" s="68"/>
    </row>
    <row r="269" spans="3:6" s="32" customFormat="1" x14ac:dyDescent="0.25">
      <c r="C269" s="39"/>
      <c r="E269" s="59"/>
      <c r="F269" s="68"/>
    </row>
    <row r="270" spans="3:6" s="32" customFormat="1" x14ac:dyDescent="0.25">
      <c r="C270" s="39"/>
      <c r="E270" s="59"/>
      <c r="F270" s="68"/>
    </row>
    <row r="271" spans="3:6" s="32" customFormat="1" x14ac:dyDescent="0.25">
      <c r="C271" s="39"/>
      <c r="E271" s="59"/>
      <c r="F271" s="68"/>
    </row>
    <row r="272" spans="3:6" s="32" customFormat="1" x14ac:dyDescent="0.25">
      <c r="C272" s="39"/>
      <c r="E272" s="59"/>
      <c r="F272" s="68"/>
    </row>
    <row r="273" spans="3:6" s="32" customFormat="1" x14ac:dyDescent="0.25">
      <c r="C273" s="39"/>
      <c r="E273" s="59"/>
      <c r="F273" s="68"/>
    </row>
    <row r="274" spans="3:6" s="32" customFormat="1" x14ac:dyDescent="0.25">
      <c r="C274" s="39"/>
      <c r="E274" s="59"/>
      <c r="F274" s="68"/>
    </row>
    <row r="275" spans="3:6" s="32" customFormat="1" x14ac:dyDescent="0.25">
      <c r="C275" s="39"/>
      <c r="E275" s="59"/>
      <c r="F275" s="68"/>
    </row>
    <row r="276" spans="3:6" s="32" customFormat="1" x14ac:dyDescent="0.25">
      <c r="C276" s="39"/>
      <c r="E276" s="59"/>
      <c r="F276" s="68"/>
    </row>
    <row r="277" spans="3:6" s="32" customFormat="1" x14ac:dyDescent="0.25">
      <c r="C277" s="39"/>
      <c r="E277" s="59"/>
      <c r="F277" s="68"/>
    </row>
    <row r="278" spans="3:6" s="32" customFormat="1" x14ac:dyDescent="0.25">
      <c r="C278" s="39"/>
      <c r="E278" s="59"/>
      <c r="F278" s="68"/>
    </row>
    <row r="279" spans="3:6" s="32" customFormat="1" x14ac:dyDescent="0.25">
      <c r="C279" s="39"/>
      <c r="E279" s="59"/>
      <c r="F279" s="68"/>
    </row>
    <row r="280" spans="3:6" s="32" customFormat="1" x14ac:dyDescent="0.25">
      <c r="C280" s="39"/>
      <c r="E280" s="59"/>
      <c r="F280" s="68"/>
    </row>
    <row r="281" spans="3:6" s="32" customFormat="1" x14ac:dyDescent="0.25">
      <c r="C281" s="39"/>
      <c r="E281" s="59"/>
      <c r="F281" s="68"/>
    </row>
    <row r="282" spans="3:6" s="32" customFormat="1" x14ac:dyDescent="0.25">
      <c r="C282" s="39"/>
      <c r="E282" s="59"/>
      <c r="F282" s="68"/>
    </row>
    <row r="283" spans="3:6" s="32" customFormat="1" x14ac:dyDescent="0.25">
      <c r="C283" s="39"/>
      <c r="E283" s="59"/>
      <c r="F283" s="68"/>
    </row>
    <row r="284" spans="3:6" s="32" customFormat="1" x14ac:dyDescent="0.25">
      <c r="C284" s="39"/>
      <c r="E284" s="59"/>
      <c r="F284" s="68"/>
    </row>
    <row r="285" spans="3:6" s="32" customFormat="1" x14ac:dyDescent="0.25">
      <c r="C285" s="39"/>
      <c r="E285" s="59"/>
      <c r="F285" s="68"/>
    </row>
    <row r="286" spans="3:6" s="32" customFormat="1" x14ac:dyDescent="0.25">
      <c r="C286" s="39"/>
      <c r="E286" s="59"/>
      <c r="F286" s="68"/>
    </row>
    <row r="287" spans="3:6" s="32" customFormat="1" x14ac:dyDescent="0.25">
      <c r="C287" s="39"/>
      <c r="E287" s="59"/>
      <c r="F287" s="68"/>
    </row>
    <row r="288" spans="3:6" s="32" customFormat="1" x14ac:dyDescent="0.25">
      <c r="C288" s="39"/>
      <c r="E288" s="59"/>
      <c r="F288" s="68"/>
    </row>
    <row r="289" spans="3:6" s="32" customFormat="1" x14ac:dyDescent="0.25">
      <c r="C289" s="39"/>
      <c r="E289" s="59"/>
      <c r="F289" s="68"/>
    </row>
    <row r="290" spans="3:6" s="32" customFormat="1" x14ac:dyDescent="0.25">
      <c r="C290" s="39"/>
      <c r="E290" s="59"/>
      <c r="F290" s="68"/>
    </row>
    <row r="291" spans="3:6" s="32" customFormat="1" x14ac:dyDescent="0.25">
      <c r="C291" s="39"/>
      <c r="E291" s="59"/>
      <c r="F291" s="68"/>
    </row>
    <row r="292" spans="3:6" s="32" customFormat="1" x14ac:dyDescent="0.25">
      <c r="C292" s="39"/>
      <c r="E292" s="59"/>
      <c r="F292" s="68"/>
    </row>
    <row r="293" spans="3:6" s="32" customFormat="1" x14ac:dyDescent="0.25">
      <c r="C293" s="39"/>
      <c r="E293" s="59"/>
      <c r="F293" s="68"/>
    </row>
    <row r="294" spans="3:6" s="32" customFormat="1" x14ac:dyDescent="0.25">
      <c r="C294" s="39"/>
      <c r="E294" s="59"/>
      <c r="F294" s="68"/>
    </row>
    <row r="295" spans="3:6" s="32" customFormat="1" x14ac:dyDescent="0.25">
      <c r="C295" s="39"/>
      <c r="E295" s="59"/>
      <c r="F295" s="68"/>
    </row>
    <row r="296" spans="3:6" s="32" customFormat="1" x14ac:dyDescent="0.25">
      <c r="C296" s="39"/>
      <c r="E296" s="59"/>
      <c r="F296" s="68"/>
    </row>
    <row r="297" spans="3:6" s="32" customFormat="1" x14ac:dyDescent="0.25">
      <c r="C297" s="39"/>
      <c r="E297" s="59"/>
      <c r="F297" s="68"/>
    </row>
    <row r="298" spans="3:6" s="32" customFormat="1" x14ac:dyDescent="0.25">
      <c r="C298" s="39"/>
      <c r="E298" s="59"/>
      <c r="F298" s="68"/>
    </row>
    <row r="299" spans="3:6" s="32" customFormat="1" x14ac:dyDescent="0.25">
      <c r="C299" s="39"/>
      <c r="E299" s="59"/>
      <c r="F299" s="68"/>
    </row>
    <row r="300" spans="3:6" s="32" customFormat="1" x14ac:dyDescent="0.25">
      <c r="C300" s="39"/>
      <c r="E300" s="59"/>
      <c r="F300" s="68"/>
    </row>
    <row r="301" spans="3:6" s="32" customFormat="1" x14ac:dyDescent="0.25">
      <c r="C301" s="39"/>
      <c r="E301" s="59"/>
      <c r="F301" s="68"/>
    </row>
    <row r="302" spans="3:6" s="32" customFormat="1" x14ac:dyDescent="0.25">
      <c r="C302" s="39"/>
      <c r="E302" s="59"/>
      <c r="F302" s="68"/>
    </row>
    <row r="303" spans="3:6" s="32" customFormat="1" x14ac:dyDescent="0.25">
      <c r="C303" s="39"/>
      <c r="E303" s="59"/>
      <c r="F303" s="68"/>
    </row>
    <row r="304" spans="3:6" s="32" customFormat="1" x14ac:dyDescent="0.25">
      <c r="C304" s="39"/>
      <c r="E304" s="59"/>
      <c r="F304" s="68"/>
    </row>
    <row r="305" spans="3:6" s="32" customFormat="1" x14ac:dyDescent="0.25">
      <c r="C305" s="39"/>
      <c r="E305" s="59"/>
      <c r="F305" s="68"/>
    </row>
    <row r="306" spans="3:6" s="32" customFormat="1" x14ac:dyDescent="0.25">
      <c r="C306" s="39"/>
      <c r="E306" s="59"/>
      <c r="F306" s="68"/>
    </row>
    <row r="307" spans="3:6" s="32" customFormat="1" x14ac:dyDescent="0.25">
      <c r="C307" s="39"/>
      <c r="E307" s="59"/>
      <c r="F307" s="68"/>
    </row>
    <row r="308" spans="3:6" s="32" customFormat="1" x14ac:dyDescent="0.25">
      <c r="C308" s="39"/>
      <c r="E308" s="59"/>
      <c r="F308" s="68"/>
    </row>
    <row r="309" spans="3:6" s="32" customFormat="1" x14ac:dyDescent="0.25">
      <c r="C309" s="39"/>
      <c r="E309" s="59"/>
      <c r="F309" s="68"/>
    </row>
    <row r="310" spans="3:6" s="32" customFormat="1" x14ac:dyDescent="0.25">
      <c r="C310" s="39"/>
      <c r="E310" s="59"/>
      <c r="F310" s="68"/>
    </row>
    <row r="311" spans="3:6" s="32" customFormat="1" x14ac:dyDescent="0.25">
      <c r="C311" s="39"/>
      <c r="E311" s="59"/>
      <c r="F311" s="68"/>
    </row>
    <row r="312" spans="3:6" s="32" customFormat="1" x14ac:dyDescent="0.25">
      <c r="C312" s="39"/>
      <c r="E312" s="59"/>
      <c r="F312" s="68"/>
    </row>
    <row r="313" spans="3:6" s="32" customFormat="1" x14ac:dyDescent="0.25">
      <c r="C313" s="39"/>
      <c r="E313" s="59"/>
      <c r="F313" s="68"/>
    </row>
    <row r="314" spans="3:6" s="32" customFormat="1" x14ac:dyDescent="0.25">
      <c r="C314" s="39"/>
      <c r="E314" s="59"/>
      <c r="F314" s="68"/>
    </row>
    <row r="315" spans="3:6" s="32" customFormat="1" x14ac:dyDescent="0.25">
      <c r="C315" s="39"/>
      <c r="E315" s="59"/>
      <c r="F315" s="68"/>
    </row>
    <row r="316" spans="3:6" s="32" customFormat="1" x14ac:dyDescent="0.25">
      <c r="C316" s="39"/>
      <c r="E316" s="59"/>
      <c r="F316" s="68"/>
    </row>
    <row r="317" spans="3:6" s="32" customFormat="1" x14ac:dyDescent="0.25">
      <c r="C317" s="39"/>
      <c r="E317" s="59"/>
      <c r="F317" s="68"/>
    </row>
    <row r="318" spans="3:6" s="32" customFormat="1" x14ac:dyDescent="0.25">
      <c r="C318" s="39"/>
      <c r="E318" s="59"/>
      <c r="F318" s="68"/>
    </row>
    <row r="319" spans="3:6" s="32" customFormat="1" x14ac:dyDescent="0.25">
      <c r="C319" s="39"/>
      <c r="E319" s="59"/>
      <c r="F319" s="68"/>
    </row>
    <row r="320" spans="3:6" s="32" customFormat="1" x14ac:dyDescent="0.25">
      <c r="C320" s="39"/>
      <c r="E320" s="59"/>
      <c r="F320" s="68"/>
    </row>
    <row r="321" spans="3:6" s="32" customFormat="1" x14ac:dyDescent="0.25">
      <c r="C321" s="39"/>
      <c r="E321" s="59"/>
      <c r="F321" s="68"/>
    </row>
    <row r="322" spans="3:6" s="32" customFormat="1" x14ac:dyDescent="0.25">
      <c r="C322" s="39"/>
      <c r="E322" s="59"/>
      <c r="F322" s="68"/>
    </row>
    <row r="323" spans="3:6" s="32" customFormat="1" x14ac:dyDescent="0.25">
      <c r="C323" s="39"/>
      <c r="E323" s="59"/>
      <c r="F323" s="68"/>
    </row>
    <row r="324" spans="3:6" s="32" customFormat="1" x14ac:dyDescent="0.25">
      <c r="C324" s="39"/>
      <c r="E324" s="59"/>
      <c r="F324" s="68"/>
    </row>
    <row r="325" spans="3:6" s="32" customFormat="1" x14ac:dyDescent="0.25">
      <c r="C325" s="39"/>
      <c r="E325" s="59"/>
      <c r="F325" s="68"/>
    </row>
    <row r="326" spans="3:6" s="32" customFormat="1" x14ac:dyDescent="0.25">
      <c r="C326" s="39"/>
      <c r="E326" s="59"/>
      <c r="F326" s="68"/>
    </row>
    <row r="327" spans="3:6" s="32" customFormat="1" x14ac:dyDescent="0.25">
      <c r="C327" s="39"/>
      <c r="E327" s="59"/>
      <c r="F327" s="68"/>
    </row>
    <row r="328" spans="3:6" s="32" customFormat="1" x14ac:dyDescent="0.25">
      <c r="C328" s="39"/>
      <c r="E328" s="59"/>
      <c r="F328" s="68"/>
    </row>
    <row r="329" spans="3:6" s="32" customFormat="1" x14ac:dyDescent="0.25">
      <c r="C329" s="39"/>
      <c r="E329" s="59"/>
      <c r="F329" s="68"/>
    </row>
    <row r="330" spans="3:6" s="32" customFormat="1" x14ac:dyDescent="0.25">
      <c r="C330" s="39"/>
      <c r="E330" s="59"/>
      <c r="F330" s="68"/>
    </row>
    <row r="331" spans="3:6" s="32" customFormat="1" x14ac:dyDescent="0.25">
      <c r="C331" s="39"/>
      <c r="E331" s="59"/>
      <c r="F331" s="68"/>
    </row>
    <row r="332" spans="3:6" s="32" customFormat="1" x14ac:dyDescent="0.25">
      <c r="C332" s="39"/>
      <c r="E332" s="59"/>
      <c r="F332" s="68"/>
    </row>
    <row r="333" spans="3:6" s="32" customFormat="1" x14ac:dyDescent="0.25">
      <c r="C333" s="39"/>
      <c r="E333" s="59"/>
      <c r="F333" s="68"/>
    </row>
    <row r="334" spans="3:6" s="32" customFormat="1" x14ac:dyDescent="0.25">
      <c r="C334" s="39"/>
      <c r="E334" s="59"/>
      <c r="F334" s="68"/>
    </row>
    <row r="335" spans="3:6" s="32" customFormat="1" x14ac:dyDescent="0.25">
      <c r="C335" s="39"/>
      <c r="E335" s="59"/>
      <c r="F335" s="68"/>
    </row>
    <row r="336" spans="3:6" s="32" customFormat="1" x14ac:dyDescent="0.25">
      <c r="C336" s="39"/>
      <c r="E336" s="59"/>
      <c r="F336" s="68"/>
    </row>
    <row r="337" spans="3:6" s="32" customFormat="1" x14ac:dyDescent="0.25">
      <c r="C337" s="39"/>
      <c r="E337" s="59"/>
      <c r="F337" s="68"/>
    </row>
    <row r="338" spans="3:6" s="32" customFormat="1" x14ac:dyDescent="0.25">
      <c r="C338" s="39"/>
      <c r="E338" s="59"/>
      <c r="F338" s="68"/>
    </row>
    <row r="339" spans="3:6" s="32" customFormat="1" x14ac:dyDescent="0.25">
      <c r="C339" s="39"/>
      <c r="E339" s="59"/>
      <c r="F339" s="68"/>
    </row>
    <row r="340" spans="3:6" s="32" customFormat="1" x14ac:dyDescent="0.25">
      <c r="C340" s="39"/>
      <c r="E340" s="59"/>
      <c r="F340" s="68"/>
    </row>
    <row r="341" spans="3:6" s="32" customFormat="1" x14ac:dyDescent="0.25">
      <c r="C341" s="39"/>
      <c r="E341" s="59"/>
      <c r="F341" s="68"/>
    </row>
    <row r="342" spans="3:6" s="32" customFormat="1" x14ac:dyDescent="0.25">
      <c r="C342" s="39"/>
      <c r="E342" s="59"/>
      <c r="F342" s="68"/>
    </row>
    <row r="343" spans="3:6" s="32" customFormat="1" x14ac:dyDescent="0.25">
      <c r="C343" s="39"/>
      <c r="E343" s="59"/>
      <c r="F343" s="68"/>
    </row>
    <row r="344" spans="3:6" s="32" customFormat="1" x14ac:dyDescent="0.25">
      <c r="C344" s="39"/>
      <c r="E344" s="59"/>
      <c r="F344" s="68"/>
    </row>
    <row r="345" spans="3:6" s="32" customFormat="1" x14ac:dyDescent="0.25">
      <c r="C345" s="39"/>
      <c r="E345" s="59"/>
      <c r="F345" s="68"/>
    </row>
    <row r="346" spans="3:6" s="32" customFormat="1" x14ac:dyDescent="0.25">
      <c r="C346" s="39"/>
      <c r="E346" s="59"/>
      <c r="F346" s="68"/>
    </row>
    <row r="347" spans="3:6" s="32" customFormat="1" x14ac:dyDescent="0.25">
      <c r="C347" s="39"/>
      <c r="E347" s="59"/>
      <c r="F347" s="68"/>
    </row>
    <row r="348" spans="3:6" s="32" customFormat="1" x14ac:dyDescent="0.25">
      <c r="C348" s="39"/>
      <c r="E348" s="59"/>
      <c r="F348" s="68"/>
    </row>
    <row r="349" spans="3:6" s="32" customFormat="1" x14ac:dyDescent="0.25">
      <c r="C349" s="39"/>
      <c r="E349" s="59"/>
      <c r="F349" s="68"/>
    </row>
    <row r="350" spans="3:6" s="32" customFormat="1" x14ac:dyDescent="0.25">
      <c r="C350" s="39"/>
      <c r="E350" s="59"/>
      <c r="F350" s="68"/>
    </row>
    <row r="351" spans="3:6" s="32" customFormat="1" x14ac:dyDescent="0.25">
      <c r="C351" s="39"/>
      <c r="E351" s="59"/>
      <c r="F351" s="68"/>
    </row>
    <row r="352" spans="3:6" s="32" customFormat="1" x14ac:dyDescent="0.25">
      <c r="C352" s="39"/>
      <c r="E352" s="59"/>
      <c r="F352" s="68"/>
    </row>
    <row r="353" spans="3:6" s="32" customFormat="1" x14ac:dyDescent="0.25">
      <c r="C353" s="39"/>
      <c r="E353" s="59"/>
      <c r="F353" s="68"/>
    </row>
    <row r="354" spans="3:6" s="32" customFormat="1" x14ac:dyDescent="0.25">
      <c r="C354" s="39"/>
      <c r="E354" s="59"/>
      <c r="F354" s="68"/>
    </row>
    <row r="355" spans="3:6" s="32" customFormat="1" x14ac:dyDescent="0.25">
      <c r="C355" s="39"/>
      <c r="E355" s="59"/>
      <c r="F355" s="68"/>
    </row>
    <row r="356" spans="3:6" s="32" customFormat="1" x14ac:dyDescent="0.25">
      <c r="C356" s="39"/>
      <c r="E356" s="59"/>
      <c r="F356" s="68"/>
    </row>
    <row r="357" spans="3:6" s="32" customFormat="1" x14ac:dyDescent="0.25">
      <c r="C357" s="39"/>
      <c r="E357" s="59"/>
      <c r="F357" s="68"/>
    </row>
    <row r="358" spans="3:6" s="32" customFormat="1" x14ac:dyDescent="0.25">
      <c r="C358" s="39"/>
      <c r="E358" s="59"/>
      <c r="F358" s="68"/>
    </row>
    <row r="359" spans="3:6" s="32" customFormat="1" x14ac:dyDescent="0.25">
      <c r="C359" s="39"/>
      <c r="E359" s="59"/>
      <c r="F359" s="68"/>
    </row>
    <row r="360" spans="3:6" s="32" customFormat="1" x14ac:dyDescent="0.25">
      <c r="C360" s="39"/>
      <c r="E360" s="59"/>
      <c r="F360" s="68"/>
    </row>
    <row r="361" spans="3:6" s="32" customFormat="1" x14ac:dyDescent="0.25">
      <c r="C361" s="39"/>
      <c r="E361" s="59"/>
      <c r="F361" s="68"/>
    </row>
    <row r="362" spans="3:6" s="32" customFormat="1" x14ac:dyDescent="0.25">
      <c r="C362" s="39"/>
      <c r="E362" s="59"/>
      <c r="F362" s="68"/>
    </row>
    <row r="363" spans="3:6" s="32" customFormat="1" x14ac:dyDescent="0.25">
      <c r="C363" s="39"/>
      <c r="E363" s="59"/>
      <c r="F363" s="68"/>
    </row>
    <row r="364" spans="3:6" s="32" customFormat="1" x14ac:dyDescent="0.25">
      <c r="C364" s="39"/>
      <c r="E364" s="59"/>
      <c r="F364" s="68"/>
    </row>
    <row r="365" spans="3:6" s="32" customFormat="1" x14ac:dyDescent="0.25">
      <c r="C365" s="39"/>
      <c r="E365" s="59"/>
      <c r="F365" s="68"/>
    </row>
    <row r="366" spans="3:6" s="32" customFormat="1" x14ac:dyDescent="0.25">
      <c r="C366" s="39"/>
      <c r="E366" s="59"/>
      <c r="F366" s="68"/>
    </row>
    <row r="367" spans="3:6" s="32" customFormat="1" x14ac:dyDescent="0.25">
      <c r="C367" s="39"/>
      <c r="E367" s="59"/>
      <c r="F367" s="68"/>
    </row>
    <row r="368" spans="3:6" s="32" customFormat="1" x14ac:dyDescent="0.25">
      <c r="C368" s="39"/>
      <c r="E368" s="59"/>
      <c r="F368" s="68"/>
    </row>
    <row r="369" spans="3:6" s="32" customFormat="1" x14ac:dyDescent="0.25">
      <c r="C369" s="39"/>
      <c r="E369" s="59"/>
      <c r="F369" s="68"/>
    </row>
    <row r="370" spans="3:6" s="32" customFormat="1" x14ac:dyDescent="0.25">
      <c r="C370" s="39"/>
      <c r="E370" s="59"/>
      <c r="F370" s="68"/>
    </row>
    <row r="371" spans="3:6" s="32" customFormat="1" x14ac:dyDescent="0.25">
      <c r="C371" s="39"/>
      <c r="E371" s="59"/>
      <c r="F371" s="68"/>
    </row>
    <row r="372" spans="3:6" s="32" customFormat="1" x14ac:dyDescent="0.25">
      <c r="C372" s="39"/>
      <c r="E372" s="59"/>
      <c r="F372" s="68"/>
    </row>
    <row r="373" spans="3:6" s="32" customFormat="1" x14ac:dyDescent="0.25">
      <c r="C373" s="39"/>
      <c r="E373" s="59"/>
      <c r="F373" s="68"/>
    </row>
    <row r="374" spans="3:6" s="32" customFormat="1" x14ac:dyDescent="0.25">
      <c r="C374" s="39"/>
      <c r="E374" s="59"/>
      <c r="F374" s="68"/>
    </row>
    <row r="375" spans="3:6" s="32" customFormat="1" x14ac:dyDescent="0.25">
      <c r="C375" s="39"/>
      <c r="E375" s="59"/>
      <c r="F375" s="68"/>
    </row>
    <row r="376" spans="3:6" s="32" customFormat="1" x14ac:dyDescent="0.25">
      <c r="C376" s="39"/>
      <c r="E376" s="59"/>
      <c r="F376" s="68"/>
    </row>
    <row r="377" spans="3:6" s="32" customFormat="1" x14ac:dyDescent="0.25">
      <c r="C377" s="39"/>
      <c r="E377" s="59"/>
      <c r="F377" s="68"/>
    </row>
    <row r="378" spans="3:6" s="32" customFormat="1" x14ac:dyDescent="0.25">
      <c r="C378" s="39"/>
      <c r="E378" s="59"/>
      <c r="F378" s="68"/>
    </row>
    <row r="379" spans="3:6" s="32" customFormat="1" x14ac:dyDescent="0.25">
      <c r="C379" s="39"/>
      <c r="E379" s="59"/>
      <c r="F379" s="68"/>
    </row>
    <row r="380" spans="3:6" s="32" customFormat="1" x14ac:dyDescent="0.25">
      <c r="C380" s="39"/>
      <c r="E380" s="59"/>
      <c r="F380" s="68"/>
    </row>
    <row r="381" spans="3:6" s="32" customFormat="1" x14ac:dyDescent="0.25">
      <c r="C381" s="39"/>
      <c r="E381" s="59"/>
      <c r="F381" s="68"/>
    </row>
    <row r="382" spans="3:6" s="32" customFormat="1" x14ac:dyDescent="0.25">
      <c r="C382" s="39"/>
      <c r="E382" s="59"/>
      <c r="F382" s="68"/>
    </row>
    <row r="383" spans="3:6" s="32" customFormat="1" x14ac:dyDescent="0.25">
      <c r="C383" s="39"/>
      <c r="E383" s="59"/>
      <c r="F383" s="68"/>
    </row>
    <row r="384" spans="3:6" s="32" customFormat="1" x14ac:dyDescent="0.25">
      <c r="C384" s="39"/>
      <c r="E384" s="59"/>
      <c r="F384" s="68"/>
    </row>
    <row r="385" spans="3:6" s="32" customFormat="1" x14ac:dyDescent="0.25">
      <c r="C385" s="39"/>
      <c r="E385" s="59"/>
      <c r="F385" s="68"/>
    </row>
    <row r="386" spans="3:6" s="32" customFormat="1" x14ac:dyDescent="0.25">
      <c r="C386" s="39"/>
      <c r="E386" s="59"/>
      <c r="F386" s="68"/>
    </row>
    <row r="387" spans="3:6" s="32" customFormat="1" x14ac:dyDescent="0.25">
      <c r="C387" s="39"/>
      <c r="E387" s="59"/>
      <c r="F387" s="68"/>
    </row>
    <row r="388" spans="3:6" s="32" customFormat="1" x14ac:dyDescent="0.25">
      <c r="C388" s="39"/>
      <c r="E388" s="59"/>
      <c r="F388" s="68"/>
    </row>
    <row r="389" spans="3:6" s="32" customFormat="1" x14ac:dyDescent="0.25">
      <c r="C389" s="39"/>
      <c r="E389" s="59"/>
      <c r="F389" s="68"/>
    </row>
    <row r="390" spans="3:6" s="32" customFormat="1" x14ac:dyDescent="0.25">
      <c r="C390" s="39"/>
      <c r="E390" s="59"/>
      <c r="F390" s="68"/>
    </row>
    <row r="391" spans="3:6" s="32" customFormat="1" x14ac:dyDescent="0.25">
      <c r="C391" s="39"/>
      <c r="E391" s="59"/>
      <c r="F391" s="68"/>
    </row>
    <row r="392" spans="3:6" s="32" customFormat="1" x14ac:dyDescent="0.25">
      <c r="C392" s="39"/>
      <c r="E392" s="59"/>
      <c r="F392" s="68"/>
    </row>
    <row r="393" spans="3:6" s="32" customFormat="1" x14ac:dyDescent="0.25">
      <c r="C393" s="39"/>
      <c r="E393" s="59"/>
      <c r="F393" s="68"/>
    </row>
    <row r="394" spans="3:6" s="32" customFormat="1" x14ac:dyDescent="0.25">
      <c r="C394" s="39"/>
      <c r="E394" s="59"/>
      <c r="F394" s="68"/>
    </row>
    <row r="395" spans="3:6" s="32" customFormat="1" x14ac:dyDescent="0.25">
      <c r="C395" s="39"/>
      <c r="E395" s="59"/>
      <c r="F395" s="68"/>
    </row>
    <row r="396" spans="3:6" s="32" customFormat="1" x14ac:dyDescent="0.25">
      <c r="C396" s="39"/>
      <c r="E396" s="59"/>
      <c r="F396" s="68"/>
    </row>
    <row r="397" spans="3:6" s="32" customFormat="1" x14ac:dyDescent="0.25">
      <c r="C397" s="39"/>
      <c r="E397" s="59"/>
      <c r="F397" s="68"/>
    </row>
    <row r="398" spans="3:6" s="32" customFormat="1" x14ac:dyDescent="0.25">
      <c r="C398" s="39"/>
      <c r="E398" s="59"/>
      <c r="F398" s="68"/>
    </row>
    <row r="399" spans="3:6" s="32" customFormat="1" x14ac:dyDescent="0.25">
      <c r="C399" s="39"/>
      <c r="E399" s="59"/>
      <c r="F399" s="68"/>
    </row>
    <row r="400" spans="3:6" s="32" customFormat="1" x14ac:dyDescent="0.25">
      <c r="C400" s="39"/>
      <c r="E400" s="59"/>
      <c r="F400" s="68"/>
    </row>
    <row r="401" spans="3:6" s="32" customFormat="1" x14ac:dyDescent="0.25">
      <c r="C401" s="39"/>
      <c r="E401" s="59"/>
      <c r="F401" s="68"/>
    </row>
    <row r="402" spans="3:6" s="32" customFormat="1" x14ac:dyDescent="0.25">
      <c r="C402" s="39"/>
      <c r="E402" s="59"/>
      <c r="F402" s="68"/>
    </row>
    <row r="403" spans="3:6" s="32" customFormat="1" x14ac:dyDescent="0.25">
      <c r="C403" s="39"/>
      <c r="E403" s="59"/>
      <c r="F403" s="68"/>
    </row>
    <row r="404" spans="3:6" s="32" customFormat="1" x14ac:dyDescent="0.25">
      <c r="C404" s="39"/>
      <c r="E404" s="59"/>
      <c r="F404" s="68"/>
    </row>
    <row r="405" spans="3:6" s="32" customFormat="1" x14ac:dyDescent="0.25">
      <c r="C405" s="39"/>
      <c r="E405" s="59"/>
      <c r="F405" s="68"/>
    </row>
    <row r="406" spans="3:6" s="32" customFormat="1" x14ac:dyDescent="0.25">
      <c r="C406" s="39"/>
      <c r="E406" s="59"/>
      <c r="F406" s="68"/>
    </row>
    <row r="407" spans="3:6" s="32" customFormat="1" x14ac:dyDescent="0.25">
      <c r="C407" s="39"/>
      <c r="E407" s="59"/>
      <c r="F407" s="68"/>
    </row>
    <row r="408" spans="3:6" s="32" customFormat="1" x14ac:dyDescent="0.25">
      <c r="C408" s="39"/>
      <c r="E408" s="59"/>
      <c r="F408" s="68"/>
    </row>
    <row r="409" spans="3:6" s="32" customFormat="1" x14ac:dyDescent="0.25">
      <c r="C409" s="39"/>
      <c r="E409" s="59"/>
      <c r="F409" s="68"/>
    </row>
    <row r="410" spans="3:6" s="32" customFormat="1" x14ac:dyDescent="0.25">
      <c r="C410" s="39"/>
      <c r="E410" s="59"/>
      <c r="F410" s="68"/>
    </row>
    <row r="411" spans="3:6" s="32" customFormat="1" x14ac:dyDescent="0.25">
      <c r="C411" s="39"/>
      <c r="E411" s="59"/>
      <c r="F411" s="68"/>
    </row>
    <row r="412" spans="3:6" s="32" customFormat="1" x14ac:dyDescent="0.25">
      <c r="C412" s="39"/>
      <c r="E412" s="59"/>
      <c r="F412" s="68"/>
    </row>
    <row r="413" spans="3:6" s="32" customFormat="1" x14ac:dyDescent="0.25">
      <c r="C413" s="39"/>
      <c r="E413" s="59"/>
      <c r="F413" s="68"/>
    </row>
    <row r="414" spans="3:6" s="32" customFormat="1" x14ac:dyDescent="0.25">
      <c r="C414" s="39"/>
      <c r="E414" s="59"/>
      <c r="F414" s="68"/>
    </row>
    <row r="415" spans="3:6" s="32" customFormat="1" x14ac:dyDescent="0.25">
      <c r="C415" s="39"/>
      <c r="E415" s="59"/>
      <c r="F415" s="68"/>
    </row>
    <row r="416" spans="3:6" s="32" customFormat="1" x14ac:dyDescent="0.25">
      <c r="C416" s="39"/>
      <c r="E416" s="59"/>
      <c r="F416" s="68"/>
    </row>
    <row r="417" spans="3:6" s="32" customFormat="1" x14ac:dyDescent="0.25">
      <c r="C417" s="39"/>
      <c r="E417" s="59"/>
      <c r="F417" s="68"/>
    </row>
    <row r="418" spans="3:6" s="32" customFormat="1" x14ac:dyDescent="0.25">
      <c r="C418" s="39"/>
      <c r="E418" s="59"/>
      <c r="F418" s="68"/>
    </row>
    <row r="419" spans="3:6" s="32" customFormat="1" x14ac:dyDescent="0.25">
      <c r="C419" s="39"/>
      <c r="E419" s="59"/>
      <c r="F419" s="68"/>
    </row>
    <row r="420" spans="3:6" s="32" customFormat="1" x14ac:dyDescent="0.25">
      <c r="C420" s="39"/>
      <c r="E420" s="59"/>
      <c r="F420" s="68"/>
    </row>
    <row r="421" spans="3:6" s="32" customFormat="1" x14ac:dyDescent="0.25">
      <c r="C421" s="39"/>
      <c r="E421" s="59"/>
      <c r="F421" s="68"/>
    </row>
    <row r="422" spans="3:6" s="32" customFormat="1" x14ac:dyDescent="0.25">
      <c r="C422" s="39"/>
      <c r="E422" s="59"/>
      <c r="F422" s="68"/>
    </row>
    <row r="423" spans="3:6" s="32" customFormat="1" x14ac:dyDescent="0.25">
      <c r="C423" s="39"/>
      <c r="E423" s="59"/>
      <c r="F423" s="68"/>
    </row>
    <row r="424" spans="3:6" s="32" customFormat="1" x14ac:dyDescent="0.25">
      <c r="C424" s="39"/>
      <c r="E424" s="59"/>
      <c r="F424" s="68"/>
    </row>
    <row r="425" spans="3:6" s="32" customFormat="1" x14ac:dyDescent="0.25">
      <c r="C425" s="39"/>
      <c r="E425" s="59"/>
      <c r="F425" s="68"/>
    </row>
    <row r="426" spans="3:6" s="32" customFormat="1" x14ac:dyDescent="0.25">
      <c r="C426" s="39"/>
      <c r="E426" s="59"/>
      <c r="F426" s="68"/>
    </row>
    <row r="427" spans="3:6" s="32" customFormat="1" x14ac:dyDescent="0.25">
      <c r="C427" s="39"/>
      <c r="E427" s="59"/>
      <c r="F427" s="68"/>
    </row>
    <row r="428" spans="3:6" s="32" customFormat="1" x14ac:dyDescent="0.25">
      <c r="C428" s="39"/>
      <c r="E428" s="59"/>
      <c r="F428" s="68"/>
    </row>
    <row r="429" spans="3:6" s="32" customFormat="1" x14ac:dyDescent="0.25">
      <c r="C429" s="39"/>
      <c r="E429" s="59"/>
      <c r="F429" s="68"/>
    </row>
    <row r="430" spans="3:6" s="32" customFormat="1" x14ac:dyDescent="0.25">
      <c r="C430" s="39"/>
      <c r="E430" s="59"/>
      <c r="F430" s="68"/>
    </row>
    <row r="431" spans="3:6" s="32" customFormat="1" x14ac:dyDescent="0.25">
      <c r="C431" s="39"/>
      <c r="E431" s="59"/>
      <c r="F431" s="68"/>
    </row>
    <row r="432" spans="3:6" s="32" customFormat="1" x14ac:dyDescent="0.25">
      <c r="C432" s="39"/>
      <c r="E432" s="59"/>
      <c r="F432" s="68"/>
    </row>
    <row r="433" spans="3:6" s="32" customFormat="1" x14ac:dyDescent="0.25">
      <c r="C433" s="39"/>
      <c r="E433" s="59"/>
      <c r="F433" s="68"/>
    </row>
    <row r="434" spans="3:6" s="32" customFormat="1" x14ac:dyDescent="0.25">
      <c r="C434" s="39"/>
      <c r="E434" s="59"/>
      <c r="F434" s="68"/>
    </row>
    <row r="435" spans="3:6" s="32" customFormat="1" x14ac:dyDescent="0.25">
      <c r="C435" s="39"/>
      <c r="E435" s="59"/>
      <c r="F435" s="68"/>
    </row>
    <row r="436" spans="3:6" s="32" customFormat="1" x14ac:dyDescent="0.25">
      <c r="C436" s="39"/>
      <c r="E436" s="59"/>
      <c r="F436" s="68"/>
    </row>
    <row r="437" spans="3:6" s="32" customFormat="1" x14ac:dyDescent="0.25">
      <c r="C437" s="39"/>
      <c r="E437" s="59"/>
      <c r="F437" s="68"/>
    </row>
    <row r="438" spans="3:6" s="32" customFormat="1" x14ac:dyDescent="0.25">
      <c r="C438" s="39"/>
      <c r="E438" s="59"/>
      <c r="F438" s="68"/>
    </row>
    <row r="439" spans="3:6" s="32" customFormat="1" x14ac:dyDescent="0.25">
      <c r="C439" s="39"/>
      <c r="E439" s="59"/>
      <c r="F439" s="68"/>
    </row>
    <row r="440" spans="3:6" s="32" customFormat="1" x14ac:dyDescent="0.25">
      <c r="C440" s="39"/>
      <c r="E440" s="59"/>
      <c r="F440" s="68"/>
    </row>
    <row r="441" spans="3:6" s="32" customFormat="1" x14ac:dyDescent="0.25">
      <c r="C441" s="39"/>
      <c r="E441" s="59"/>
      <c r="F441" s="68"/>
    </row>
    <row r="442" spans="3:6" s="32" customFormat="1" x14ac:dyDescent="0.25">
      <c r="C442" s="39"/>
      <c r="E442" s="59"/>
      <c r="F442" s="68"/>
    </row>
    <row r="443" spans="3:6" s="32" customFormat="1" x14ac:dyDescent="0.25">
      <c r="C443" s="39"/>
      <c r="E443" s="59"/>
      <c r="F443" s="68"/>
    </row>
    <row r="444" spans="3:6" s="32" customFormat="1" x14ac:dyDescent="0.25">
      <c r="C444" s="39"/>
      <c r="E444" s="59"/>
      <c r="F444" s="68"/>
    </row>
    <row r="445" spans="3:6" s="32" customFormat="1" x14ac:dyDescent="0.25">
      <c r="C445" s="39"/>
      <c r="E445" s="59"/>
      <c r="F445" s="68"/>
    </row>
    <row r="446" spans="3:6" s="32" customFormat="1" x14ac:dyDescent="0.25">
      <c r="C446" s="39"/>
      <c r="E446" s="59"/>
      <c r="F446" s="68"/>
    </row>
    <row r="447" spans="3:6" s="32" customFormat="1" x14ac:dyDescent="0.25">
      <c r="C447" s="39"/>
      <c r="E447" s="59"/>
      <c r="F447" s="68"/>
    </row>
    <row r="448" spans="3:6" s="32" customFormat="1" x14ac:dyDescent="0.25">
      <c r="C448" s="39"/>
      <c r="E448" s="59"/>
      <c r="F448" s="68"/>
    </row>
    <row r="449" spans="3:6" s="32" customFormat="1" x14ac:dyDescent="0.25">
      <c r="C449" s="39"/>
      <c r="E449" s="59"/>
      <c r="F449" s="68"/>
    </row>
    <row r="450" spans="3:6" s="32" customFormat="1" x14ac:dyDescent="0.25">
      <c r="C450" s="39"/>
      <c r="E450" s="59"/>
      <c r="F450" s="68"/>
    </row>
    <row r="451" spans="3:6" s="32" customFormat="1" x14ac:dyDescent="0.25">
      <c r="C451" s="39"/>
      <c r="E451" s="59"/>
      <c r="F451" s="68"/>
    </row>
    <row r="452" spans="3:6" s="32" customFormat="1" x14ac:dyDescent="0.25">
      <c r="C452" s="39"/>
      <c r="E452" s="59"/>
      <c r="F452" s="68"/>
    </row>
    <row r="453" spans="3:6" s="32" customFormat="1" x14ac:dyDescent="0.25">
      <c r="C453" s="39"/>
      <c r="E453" s="59"/>
      <c r="F453" s="68"/>
    </row>
    <row r="454" spans="3:6" s="32" customFormat="1" x14ac:dyDescent="0.25">
      <c r="C454" s="39"/>
      <c r="E454" s="59"/>
      <c r="F454" s="68"/>
    </row>
    <row r="455" spans="3:6" s="32" customFormat="1" x14ac:dyDescent="0.25">
      <c r="C455" s="39"/>
      <c r="E455" s="59"/>
      <c r="F455" s="68"/>
    </row>
    <row r="456" spans="3:6" s="32" customFormat="1" x14ac:dyDescent="0.25">
      <c r="C456" s="39"/>
      <c r="E456" s="59"/>
      <c r="F456" s="68"/>
    </row>
    <row r="457" spans="3:6" s="32" customFormat="1" x14ac:dyDescent="0.25">
      <c r="C457" s="39"/>
      <c r="E457" s="59"/>
      <c r="F457" s="68"/>
    </row>
    <row r="458" spans="3:6" s="32" customFormat="1" x14ac:dyDescent="0.25">
      <c r="C458" s="39"/>
      <c r="E458" s="59"/>
      <c r="F458" s="68"/>
    </row>
    <row r="459" spans="3:6" s="32" customFormat="1" x14ac:dyDescent="0.25">
      <c r="C459" s="39"/>
      <c r="E459" s="59"/>
      <c r="F459" s="68"/>
    </row>
    <row r="460" spans="3:6" s="32" customFormat="1" x14ac:dyDescent="0.25">
      <c r="C460" s="39"/>
      <c r="E460" s="59"/>
      <c r="F460" s="68"/>
    </row>
    <row r="461" spans="3:6" s="32" customFormat="1" x14ac:dyDescent="0.25">
      <c r="C461" s="39"/>
      <c r="E461" s="59"/>
      <c r="F461" s="68"/>
    </row>
    <row r="462" spans="3:6" s="32" customFormat="1" x14ac:dyDescent="0.25">
      <c r="C462" s="39"/>
      <c r="E462" s="59"/>
      <c r="F462" s="68"/>
    </row>
    <row r="463" spans="3:6" s="32" customFormat="1" x14ac:dyDescent="0.25">
      <c r="C463" s="39"/>
      <c r="E463" s="59"/>
      <c r="F463" s="68"/>
    </row>
    <row r="464" spans="3:6" s="32" customFormat="1" x14ac:dyDescent="0.25">
      <c r="C464" s="39"/>
      <c r="E464" s="59"/>
      <c r="F464" s="68"/>
    </row>
    <row r="465" spans="3:6" s="32" customFormat="1" x14ac:dyDescent="0.25">
      <c r="C465" s="39"/>
      <c r="E465" s="59"/>
      <c r="F465" s="68"/>
    </row>
    <row r="466" spans="3:6" s="32" customFormat="1" x14ac:dyDescent="0.25">
      <c r="C466" s="39"/>
      <c r="E466" s="59"/>
      <c r="F466" s="68"/>
    </row>
    <row r="467" spans="3:6" s="32" customFormat="1" x14ac:dyDescent="0.25">
      <c r="C467" s="39"/>
      <c r="E467" s="59"/>
      <c r="F467" s="68"/>
    </row>
    <row r="468" spans="3:6" s="32" customFormat="1" x14ac:dyDescent="0.25">
      <c r="C468" s="39"/>
      <c r="E468" s="59"/>
      <c r="F468" s="68"/>
    </row>
    <row r="469" spans="3:6" s="32" customFormat="1" x14ac:dyDescent="0.25">
      <c r="C469" s="39"/>
      <c r="E469" s="59"/>
      <c r="F469" s="68"/>
    </row>
    <row r="470" spans="3:6" s="32" customFormat="1" x14ac:dyDescent="0.25">
      <c r="C470" s="39"/>
      <c r="E470" s="59"/>
      <c r="F470" s="68"/>
    </row>
    <row r="471" spans="3:6" s="32" customFormat="1" x14ac:dyDescent="0.25">
      <c r="C471" s="39"/>
      <c r="E471" s="59"/>
      <c r="F471" s="68"/>
    </row>
    <row r="472" spans="3:6" s="32" customFormat="1" x14ac:dyDescent="0.25">
      <c r="C472" s="39"/>
      <c r="E472" s="59"/>
      <c r="F472" s="68"/>
    </row>
    <row r="473" spans="3:6" s="32" customFormat="1" x14ac:dyDescent="0.25">
      <c r="C473" s="39"/>
      <c r="E473" s="59"/>
      <c r="F473" s="68"/>
    </row>
    <row r="474" spans="3:6" s="32" customFormat="1" x14ac:dyDescent="0.25">
      <c r="C474" s="39"/>
      <c r="E474" s="59"/>
      <c r="F474" s="68"/>
    </row>
    <row r="475" spans="3:6" s="32" customFormat="1" x14ac:dyDescent="0.25">
      <c r="C475" s="39"/>
      <c r="E475" s="59"/>
      <c r="F475" s="68"/>
    </row>
    <row r="476" spans="3:6" s="32" customFormat="1" x14ac:dyDescent="0.25">
      <c r="C476" s="39"/>
      <c r="E476" s="59"/>
      <c r="F476" s="68"/>
    </row>
    <row r="477" spans="3:6" s="32" customFormat="1" x14ac:dyDescent="0.25">
      <c r="C477" s="39"/>
      <c r="E477" s="59"/>
      <c r="F477" s="68"/>
    </row>
    <row r="478" spans="3:6" s="32" customFormat="1" x14ac:dyDescent="0.25">
      <c r="C478" s="39"/>
      <c r="E478" s="59"/>
      <c r="F478" s="68"/>
    </row>
    <row r="479" spans="3:6" s="32" customFormat="1" x14ac:dyDescent="0.25">
      <c r="C479" s="39"/>
      <c r="E479" s="59"/>
      <c r="F479" s="68"/>
    </row>
    <row r="480" spans="3:6" s="32" customFormat="1" x14ac:dyDescent="0.25">
      <c r="C480" s="39"/>
      <c r="E480" s="59"/>
      <c r="F480" s="68"/>
    </row>
    <row r="481" spans="3:6" s="32" customFormat="1" x14ac:dyDescent="0.25">
      <c r="C481" s="39"/>
      <c r="E481" s="59"/>
      <c r="F481" s="68"/>
    </row>
    <row r="482" spans="3:6" s="32" customFormat="1" x14ac:dyDescent="0.25">
      <c r="C482" s="39"/>
      <c r="E482" s="59"/>
      <c r="F482" s="68"/>
    </row>
    <row r="483" spans="3:6" s="32" customFormat="1" x14ac:dyDescent="0.25">
      <c r="C483" s="39"/>
      <c r="E483" s="59"/>
      <c r="F483" s="68"/>
    </row>
    <row r="484" spans="3:6" s="32" customFormat="1" x14ac:dyDescent="0.25">
      <c r="C484" s="39"/>
      <c r="E484" s="59"/>
      <c r="F484" s="68"/>
    </row>
    <row r="485" spans="3:6" s="32" customFormat="1" x14ac:dyDescent="0.25">
      <c r="C485" s="39"/>
      <c r="E485" s="59"/>
      <c r="F485" s="68"/>
    </row>
    <row r="486" spans="3:6" s="32" customFormat="1" x14ac:dyDescent="0.25">
      <c r="C486" s="39"/>
      <c r="E486" s="59"/>
      <c r="F486" s="68"/>
    </row>
    <row r="487" spans="3:6" s="32" customFormat="1" x14ac:dyDescent="0.25">
      <c r="C487" s="39"/>
      <c r="E487" s="59"/>
      <c r="F487" s="68"/>
    </row>
    <row r="488" spans="3:6" s="32" customFormat="1" x14ac:dyDescent="0.25">
      <c r="C488" s="39"/>
      <c r="E488" s="59"/>
      <c r="F488" s="68"/>
    </row>
    <row r="489" spans="3:6" s="32" customFormat="1" x14ac:dyDescent="0.25">
      <c r="C489" s="39"/>
      <c r="E489" s="59"/>
      <c r="F489" s="68"/>
    </row>
    <row r="490" spans="3:6" s="32" customFormat="1" x14ac:dyDescent="0.25">
      <c r="C490" s="39"/>
      <c r="E490" s="59"/>
      <c r="F490" s="68"/>
    </row>
    <row r="491" spans="3:6" s="32" customFormat="1" x14ac:dyDescent="0.25">
      <c r="C491" s="39"/>
      <c r="E491" s="59"/>
      <c r="F491" s="68"/>
    </row>
    <row r="492" spans="3:6" s="32" customFormat="1" x14ac:dyDescent="0.25">
      <c r="C492" s="39"/>
      <c r="E492" s="59"/>
      <c r="F492" s="68"/>
    </row>
    <row r="493" spans="3:6" s="32" customFormat="1" x14ac:dyDescent="0.25">
      <c r="C493" s="39"/>
      <c r="E493" s="59"/>
      <c r="F493" s="68"/>
    </row>
    <row r="494" spans="3:6" s="32" customFormat="1" x14ac:dyDescent="0.25">
      <c r="C494" s="39"/>
      <c r="E494" s="59"/>
      <c r="F494" s="68"/>
    </row>
    <row r="495" spans="3:6" s="32" customFormat="1" x14ac:dyDescent="0.25">
      <c r="C495" s="39"/>
      <c r="E495" s="59"/>
      <c r="F495" s="68"/>
    </row>
    <row r="496" spans="3:6" s="32" customFormat="1" x14ac:dyDescent="0.25">
      <c r="C496" s="39"/>
      <c r="E496" s="59"/>
      <c r="F496" s="68"/>
    </row>
    <row r="497" spans="3:6" s="32" customFormat="1" x14ac:dyDescent="0.25">
      <c r="C497" s="39"/>
      <c r="E497" s="59"/>
      <c r="F497" s="68"/>
    </row>
    <row r="498" spans="3:6" s="32" customFormat="1" x14ac:dyDescent="0.25">
      <c r="C498" s="39"/>
      <c r="E498" s="59"/>
      <c r="F498" s="68"/>
    </row>
    <row r="499" spans="3:6" s="32" customFormat="1" x14ac:dyDescent="0.25">
      <c r="C499" s="39"/>
      <c r="E499" s="59"/>
      <c r="F499" s="68"/>
    </row>
    <row r="500" spans="3:6" s="32" customFormat="1" x14ac:dyDescent="0.25">
      <c r="C500" s="39"/>
      <c r="E500" s="59"/>
      <c r="F500" s="68"/>
    </row>
    <row r="501" spans="3:6" s="32" customFormat="1" x14ac:dyDescent="0.25">
      <c r="C501" s="39"/>
      <c r="E501" s="59"/>
      <c r="F501" s="68"/>
    </row>
    <row r="502" spans="3:6" s="32" customFormat="1" x14ac:dyDescent="0.25">
      <c r="C502" s="39"/>
      <c r="E502" s="59"/>
      <c r="F502" s="68"/>
    </row>
    <row r="503" spans="3:6" s="32" customFormat="1" x14ac:dyDescent="0.25">
      <c r="C503" s="39"/>
      <c r="E503" s="59"/>
      <c r="F503" s="68"/>
    </row>
    <row r="504" spans="3:6" s="32" customFormat="1" x14ac:dyDescent="0.25">
      <c r="C504" s="39"/>
      <c r="E504" s="59"/>
      <c r="F504" s="68"/>
    </row>
    <row r="505" spans="3:6" s="32" customFormat="1" x14ac:dyDescent="0.25">
      <c r="C505" s="39"/>
      <c r="E505" s="59"/>
      <c r="F505" s="68"/>
    </row>
    <row r="506" spans="3:6" s="32" customFormat="1" x14ac:dyDescent="0.25">
      <c r="C506" s="39"/>
      <c r="E506" s="59"/>
      <c r="F506" s="68"/>
    </row>
    <row r="507" spans="3:6" s="32" customFormat="1" x14ac:dyDescent="0.25">
      <c r="C507" s="39"/>
      <c r="E507" s="59"/>
      <c r="F507" s="68"/>
    </row>
    <row r="508" spans="3:6" s="32" customFormat="1" x14ac:dyDescent="0.25">
      <c r="C508" s="39"/>
      <c r="E508" s="59"/>
      <c r="F508" s="68"/>
    </row>
    <row r="509" spans="3:6" s="32" customFormat="1" x14ac:dyDescent="0.25">
      <c r="C509" s="39"/>
      <c r="E509" s="59"/>
      <c r="F509" s="68"/>
    </row>
    <row r="510" spans="3:6" s="32" customFormat="1" x14ac:dyDescent="0.25">
      <c r="C510" s="39"/>
      <c r="E510" s="59"/>
      <c r="F510" s="68"/>
    </row>
    <row r="511" spans="3:6" s="32" customFormat="1" x14ac:dyDescent="0.25">
      <c r="C511" s="39"/>
      <c r="E511" s="59"/>
      <c r="F511" s="68"/>
    </row>
    <row r="512" spans="3:6" s="32" customFormat="1" x14ac:dyDescent="0.25">
      <c r="C512" s="39"/>
      <c r="E512" s="59"/>
      <c r="F512" s="68"/>
    </row>
    <row r="513" spans="3:6" s="32" customFormat="1" x14ac:dyDescent="0.25">
      <c r="C513" s="39"/>
      <c r="E513" s="59"/>
      <c r="F513" s="68"/>
    </row>
    <row r="514" spans="3:6" s="32" customFormat="1" x14ac:dyDescent="0.25">
      <c r="C514" s="39"/>
      <c r="E514" s="59"/>
      <c r="F514" s="68"/>
    </row>
    <row r="515" spans="3:6" s="32" customFormat="1" x14ac:dyDescent="0.25">
      <c r="C515" s="39"/>
      <c r="E515" s="59"/>
      <c r="F515" s="68"/>
    </row>
    <row r="516" spans="3:6" s="32" customFormat="1" x14ac:dyDescent="0.25">
      <c r="C516" s="39"/>
      <c r="E516" s="59"/>
      <c r="F516" s="68"/>
    </row>
    <row r="517" spans="3:6" s="32" customFormat="1" x14ac:dyDescent="0.25">
      <c r="C517" s="39"/>
      <c r="E517" s="59"/>
      <c r="F517" s="68"/>
    </row>
    <row r="518" spans="3:6" s="32" customFormat="1" x14ac:dyDescent="0.25">
      <c r="C518" s="39"/>
      <c r="E518" s="59"/>
      <c r="F518" s="68"/>
    </row>
    <row r="519" spans="3:6" s="32" customFormat="1" x14ac:dyDescent="0.25">
      <c r="C519" s="39"/>
      <c r="E519" s="59"/>
      <c r="F519" s="68"/>
    </row>
    <row r="520" spans="3:6" s="32" customFormat="1" x14ac:dyDescent="0.25">
      <c r="C520" s="39"/>
      <c r="E520" s="59"/>
      <c r="F520" s="68"/>
    </row>
    <row r="521" spans="3:6" s="32" customFormat="1" x14ac:dyDescent="0.25">
      <c r="C521" s="39"/>
      <c r="E521" s="59"/>
      <c r="F521" s="68"/>
    </row>
    <row r="522" spans="3:6" s="32" customFormat="1" x14ac:dyDescent="0.25">
      <c r="C522" s="39"/>
      <c r="E522" s="59"/>
      <c r="F522" s="68"/>
    </row>
    <row r="523" spans="3:6" s="32" customFormat="1" x14ac:dyDescent="0.25">
      <c r="C523" s="39"/>
      <c r="E523" s="59"/>
      <c r="F523" s="68"/>
    </row>
    <row r="524" spans="3:6" s="32" customFormat="1" x14ac:dyDescent="0.25">
      <c r="C524" s="39"/>
      <c r="E524" s="59"/>
      <c r="F524" s="68"/>
    </row>
    <row r="525" spans="3:6" s="32" customFormat="1" x14ac:dyDescent="0.25">
      <c r="C525" s="39"/>
      <c r="E525" s="59"/>
      <c r="F525" s="68"/>
    </row>
    <row r="526" spans="3:6" s="32" customFormat="1" x14ac:dyDescent="0.25">
      <c r="C526" s="39"/>
      <c r="E526" s="59"/>
      <c r="F526" s="68"/>
    </row>
    <row r="527" spans="3:6" s="32" customFormat="1" x14ac:dyDescent="0.25">
      <c r="C527" s="39"/>
      <c r="E527" s="59"/>
      <c r="F527" s="68"/>
    </row>
    <row r="528" spans="3:6" s="32" customFormat="1" x14ac:dyDescent="0.25">
      <c r="C528" s="39"/>
      <c r="E528" s="59"/>
      <c r="F528" s="68"/>
    </row>
    <row r="529" spans="3:6" s="32" customFormat="1" x14ac:dyDescent="0.25">
      <c r="C529" s="39"/>
      <c r="E529" s="59"/>
      <c r="F529" s="68"/>
    </row>
    <row r="530" spans="3:6" s="32" customFormat="1" x14ac:dyDescent="0.25">
      <c r="C530" s="39"/>
      <c r="E530" s="59"/>
      <c r="F530" s="68"/>
    </row>
    <row r="531" spans="3:6" s="32" customFormat="1" x14ac:dyDescent="0.25">
      <c r="C531" s="39"/>
      <c r="E531" s="59"/>
      <c r="F531" s="68"/>
    </row>
    <row r="532" spans="3:6" s="32" customFormat="1" x14ac:dyDescent="0.25">
      <c r="C532" s="39"/>
      <c r="E532" s="59"/>
      <c r="F532" s="68"/>
    </row>
    <row r="533" spans="3:6" s="32" customFormat="1" x14ac:dyDescent="0.25">
      <c r="C533" s="39"/>
      <c r="E533" s="59"/>
      <c r="F533" s="68"/>
    </row>
    <row r="534" spans="3:6" s="32" customFormat="1" x14ac:dyDescent="0.25">
      <c r="C534" s="39"/>
      <c r="E534" s="59"/>
      <c r="F534" s="68"/>
    </row>
    <row r="535" spans="3:6" s="32" customFormat="1" x14ac:dyDescent="0.25">
      <c r="C535" s="39"/>
      <c r="E535" s="59"/>
      <c r="F535" s="68"/>
    </row>
    <row r="536" spans="3:6" s="32" customFormat="1" x14ac:dyDescent="0.25">
      <c r="C536" s="39"/>
      <c r="E536" s="59"/>
      <c r="F536" s="68"/>
    </row>
    <row r="537" spans="3:6" s="32" customFormat="1" x14ac:dyDescent="0.25">
      <c r="C537" s="39"/>
      <c r="E537" s="59"/>
      <c r="F537" s="68"/>
    </row>
    <row r="538" spans="3:6" s="32" customFormat="1" x14ac:dyDescent="0.25">
      <c r="C538" s="39"/>
      <c r="E538" s="59"/>
      <c r="F538" s="68"/>
    </row>
    <row r="539" spans="3:6" s="32" customFormat="1" x14ac:dyDescent="0.25">
      <c r="C539" s="39"/>
      <c r="E539" s="59"/>
      <c r="F539" s="68"/>
    </row>
    <row r="540" spans="3:6" s="32" customFormat="1" x14ac:dyDescent="0.25">
      <c r="C540" s="39"/>
      <c r="E540" s="59"/>
      <c r="F540" s="68"/>
    </row>
    <row r="541" spans="3:6" s="32" customFormat="1" x14ac:dyDescent="0.25">
      <c r="C541" s="39"/>
      <c r="E541" s="59"/>
      <c r="F541" s="68"/>
    </row>
    <row r="542" spans="3:6" s="32" customFormat="1" x14ac:dyDescent="0.25">
      <c r="C542" s="39"/>
      <c r="E542" s="59"/>
      <c r="F542" s="68"/>
    </row>
    <row r="543" spans="3:6" s="32" customFormat="1" x14ac:dyDescent="0.25">
      <c r="C543" s="39"/>
      <c r="E543" s="59"/>
      <c r="F543" s="68"/>
    </row>
    <row r="544" spans="3:6" s="32" customFormat="1" x14ac:dyDescent="0.25">
      <c r="C544" s="39"/>
      <c r="E544" s="59"/>
      <c r="F544" s="68"/>
    </row>
    <row r="545" spans="3:6" s="32" customFormat="1" x14ac:dyDescent="0.25">
      <c r="C545" s="39"/>
      <c r="E545" s="59"/>
      <c r="F545" s="68"/>
    </row>
    <row r="546" spans="3:6" s="32" customFormat="1" x14ac:dyDescent="0.25">
      <c r="C546" s="39"/>
      <c r="E546" s="59"/>
      <c r="F546" s="68"/>
    </row>
    <row r="547" spans="3:6" s="32" customFormat="1" x14ac:dyDescent="0.25">
      <c r="C547" s="39"/>
      <c r="E547" s="59"/>
      <c r="F547" s="68"/>
    </row>
    <row r="548" spans="3:6" s="32" customFormat="1" x14ac:dyDescent="0.25">
      <c r="C548" s="39"/>
      <c r="E548" s="59"/>
      <c r="F548" s="68"/>
    </row>
    <row r="549" spans="3:6" s="32" customFormat="1" x14ac:dyDescent="0.25">
      <c r="C549" s="39"/>
      <c r="E549" s="59"/>
      <c r="F549" s="68"/>
    </row>
    <row r="550" spans="3:6" s="32" customFormat="1" x14ac:dyDescent="0.25">
      <c r="C550" s="39"/>
      <c r="E550" s="59"/>
      <c r="F550" s="68"/>
    </row>
    <row r="551" spans="3:6" s="32" customFormat="1" x14ac:dyDescent="0.25">
      <c r="C551" s="39"/>
      <c r="E551" s="59"/>
      <c r="F551" s="68"/>
    </row>
    <row r="552" spans="3:6" s="32" customFormat="1" x14ac:dyDescent="0.25">
      <c r="C552" s="39"/>
      <c r="E552" s="59"/>
      <c r="F552" s="68"/>
    </row>
    <row r="553" spans="3:6" s="32" customFormat="1" x14ac:dyDescent="0.25">
      <c r="C553" s="39"/>
      <c r="E553" s="59"/>
      <c r="F553" s="68"/>
    </row>
    <row r="554" spans="3:6" s="32" customFormat="1" x14ac:dyDescent="0.25">
      <c r="C554" s="39"/>
      <c r="E554" s="59"/>
      <c r="F554" s="68"/>
    </row>
    <row r="555" spans="3:6" s="32" customFormat="1" x14ac:dyDescent="0.25">
      <c r="C555" s="39"/>
      <c r="E555" s="59"/>
      <c r="F555" s="68"/>
    </row>
    <row r="556" spans="3:6" s="32" customFormat="1" x14ac:dyDescent="0.25">
      <c r="C556" s="39"/>
      <c r="E556" s="59"/>
      <c r="F556" s="68"/>
    </row>
    <row r="557" spans="3:6" s="32" customFormat="1" x14ac:dyDescent="0.25">
      <c r="C557" s="39"/>
      <c r="E557" s="59"/>
      <c r="F557" s="68"/>
    </row>
    <row r="558" spans="3:6" s="32" customFormat="1" x14ac:dyDescent="0.25">
      <c r="C558" s="39"/>
      <c r="E558" s="59"/>
      <c r="F558" s="68"/>
    </row>
    <row r="559" spans="3:6" s="32" customFormat="1" x14ac:dyDescent="0.25">
      <c r="C559" s="39"/>
      <c r="E559" s="59"/>
      <c r="F559" s="68"/>
    </row>
    <row r="560" spans="3:6" s="32" customFormat="1" x14ac:dyDescent="0.25">
      <c r="C560" s="39"/>
      <c r="E560" s="59"/>
      <c r="F560" s="68"/>
    </row>
    <row r="561" spans="3:6" s="32" customFormat="1" x14ac:dyDescent="0.25">
      <c r="C561" s="39"/>
      <c r="E561" s="59"/>
      <c r="F561" s="68"/>
    </row>
    <row r="562" spans="3:6" s="32" customFormat="1" x14ac:dyDescent="0.25">
      <c r="C562" s="39"/>
      <c r="E562" s="59"/>
      <c r="F562" s="68"/>
    </row>
    <row r="563" spans="3:6" s="32" customFormat="1" x14ac:dyDescent="0.25">
      <c r="C563" s="39"/>
      <c r="E563" s="59"/>
      <c r="F563" s="68"/>
    </row>
    <row r="564" spans="3:6" s="32" customFormat="1" x14ac:dyDescent="0.25">
      <c r="C564" s="39"/>
      <c r="E564" s="59"/>
      <c r="F564" s="68"/>
    </row>
    <row r="565" spans="3:6" s="32" customFormat="1" x14ac:dyDescent="0.25">
      <c r="C565" s="39"/>
      <c r="E565" s="59"/>
      <c r="F565" s="68"/>
    </row>
    <row r="566" spans="3:6" s="32" customFormat="1" x14ac:dyDescent="0.25">
      <c r="C566" s="39"/>
      <c r="E566" s="59"/>
      <c r="F566" s="68"/>
    </row>
    <row r="567" spans="3:6" s="32" customFormat="1" x14ac:dyDescent="0.25">
      <c r="C567" s="39"/>
      <c r="E567" s="59"/>
      <c r="F567" s="68"/>
    </row>
    <row r="568" spans="3:6" s="32" customFormat="1" x14ac:dyDescent="0.25">
      <c r="C568" s="39"/>
      <c r="E568" s="59"/>
      <c r="F568" s="68"/>
    </row>
    <row r="569" spans="3:6" s="32" customFormat="1" x14ac:dyDescent="0.25">
      <c r="C569" s="39"/>
      <c r="E569" s="59"/>
      <c r="F569" s="68"/>
    </row>
    <row r="570" spans="3:6" s="32" customFormat="1" x14ac:dyDescent="0.25">
      <c r="C570" s="39"/>
      <c r="E570" s="59"/>
      <c r="F570" s="68"/>
    </row>
    <row r="571" spans="3:6" s="32" customFormat="1" x14ac:dyDescent="0.25">
      <c r="C571" s="39"/>
      <c r="E571" s="59"/>
      <c r="F571" s="68"/>
    </row>
    <row r="572" spans="3:6" s="32" customFormat="1" x14ac:dyDescent="0.25">
      <c r="C572" s="39"/>
      <c r="E572" s="59"/>
      <c r="F572" s="68"/>
    </row>
    <row r="573" spans="3:6" s="32" customFormat="1" x14ac:dyDescent="0.25">
      <c r="C573" s="39"/>
      <c r="E573" s="59"/>
      <c r="F573" s="68"/>
    </row>
    <row r="574" spans="3:6" s="32" customFormat="1" x14ac:dyDescent="0.25">
      <c r="C574" s="39"/>
      <c r="E574" s="59"/>
      <c r="F574" s="68"/>
    </row>
    <row r="575" spans="3:6" s="32" customFormat="1" x14ac:dyDescent="0.25">
      <c r="C575" s="39"/>
      <c r="E575" s="59"/>
      <c r="F575" s="68"/>
    </row>
    <row r="576" spans="3:6" s="32" customFormat="1" x14ac:dyDescent="0.25">
      <c r="C576" s="39"/>
      <c r="E576" s="59"/>
      <c r="F576" s="68"/>
    </row>
    <row r="577" spans="3:6" s="32" customFormat="1" x14ac:dyDescent="0.25">
      <c r="C577" s="39"/>
      <c r="E577" s="59"/>
      <c r="F577" s="68"/>
    </row>
    <row r="578" spans="3:6" s="32" customFormat="1" x14ac:dyDescent="0.25">
      <c r="C578" s="39"/>
      <c r="E578" s="59"/>
      <c r="F578" s="68"/>
    </row>
    <row r="579" spans="3:6" s="32" customFormat="1" x14ac:dyDescent="0.25">
      <c r="C579" s="39"/>
      <c r="E579" s="59"/>
      <c r="F579" s="68"/>
    </row>
    <row r="580" spans="3:6" s="32" customFormat="1" x14ac:dyDescent="0.25">
      <c r="C580" s="39"/>
      <c r="E580" s="59"/>
      <c r="F580" s="68"/>
    </row>
    <row r="581" spans="3:6" s="32" customFormat="1" x14ac:dyDescent="0.25">
      <c r="C581" s="39"/>
      <c r="E581" s="59"/>
      <c r="F581" s="68"/>
    </row>
    <row r="582" spans="3:6" s="32" customFormat="1" x14ac:dyDescent="0.25">
      <c r="C582" s="39"/>
      <c r="E582" s="59"/>
      <c r="F582" s="68"/>
    </row>
    <row r="583" spans="3:6" s="32" customFormat="1" x14ac:dyDescent="0.25">
      <c r="C583" s="39"/>
      <c r="E583" s="59"/>
      <c r="F583" s="68"/>
    </row>
    <row r="584" spans="3:6" s="32" customFormat="1" x14ac:dyDescent="0.25">
      <c r="C584" s="39"/>
      <c r="E584" s="59"/>
      <c r="F584" s="68"/>
    </row>
    <row r="585" spans="3:6" s="32" customFormat="1" x14ac:dyDescent="0.25">
      <c r="C585" s="39"/>
      <c r="E585" s="59"/>
      <c r="F585" s="68"/>
    </row>
    <row r="586" spans="3:6" s="32" customFormat="1" x14ac:dyDescent="0.25">
      <c r="C586" s="39"/>
      <c r="E586" s="59"/>
      <c r="F586" s="68"/>
    </row>
    <row r="587" spans="3:6" s="32" customFormat="1" x14ac:dyDescent="0.25">
      <c r="C587" s="39"/>
      <c r="E587" s="59"/>
      <c r="F587" s="68"/>
    </row>
    <row r="588" spans="3:6" s="32" customFormat="1" x14ac:dyDescent="0.25">
      <c r="C588" s="39"/>
      <c r="E588" s="59"/>
      <c r="F588" s="68"/>
    </row>
    <row r="589" spans="3:6" s="32" customFormat="1" x14ac:dyDescent="0.25">
      <c r="C589" s="39"/>
      <c r="E589" s="59"/>
      <c r="F589" s="68"/>
    </row>
    <row r="590" spans="3:6" s="32" customFormat="1" x14ac:dyDescent="0.25">
      <c r="C590" s="39"/>
      <c r="E590" s="59"/>
      <c r="F590" s="68"/>
    </row>
    <row r="591" spans="3:6" s="32" customFormat="1" x14ac:dyDescent="0.25">
      <c r="C591" s="39"/>
      <c r="E591" s="59"/>
      <c r="F591" s="68"/>
    </row>
    <row r="592" spans="3:6" s="32" customFormat="1" x14ac:dyDescent="0.25">
      <c r="C592" s="39"/>
      <c r="E592" s="59"/>
      <c r="F592" s="68"/>
    </row>
    <row r="593" spans="3:6" s="32" customFormat="1" x14ac:dyDescent="0.25">
      <c r="C593" s="39"/>
      <c r="E593" s="59"/>
      <c r="F593" s="68"/>
    </row>
    <row r="594" spans="3:6" s="32" customFormat="1" x14ac:dyDescent="0.25">
      <c r="C594" s="39"/>
      <c r="E594" s="59"/>
      <c r="F594" s="68"/>
    </row>
    <row r="595" spans="3:6" s="32" customFormat="1" x14ac:dyDescent="0.25">
      <c r="C595" s="39"/>
      <c r="E595" s="59"/>
      <c r="F595" s="68"/>
    </row>
    <row r="596" spans="3:6" s="32" customFormat="1" x14ac:dyDescent="0.25">
      <c r="C596" s="39"/>
      <c r="E596" s="59"/>
      <c r="F596" s="68"/>
    </row>
    <row r="597" spans="3:6" s="32" customFormat="1" x14ac:dyDescent="0.25">
      <c r="C597" s="39"/>
      <c r="E597" s="59"/>
      <c r="F597" s="68"/>
    </row>
    <row r="598" spans="3:6" s="32" customFormat="1" x14ac:dyDescent="0.25">
      <c r="C598" s="39"/>
      <c r="E598" s="59"/>
      <c r="F598" s="68"/>
    </row>
    <row r="599" spans="3:6" s="32" customFormat="1" x14ac:dyDescent="0.25">
      <c r="C599" s="39"/>
      <c r="E599" s="59"/>
      <c r="F599" s="68"/>
    </row>
    <row r="600" spans="3:6" s="32" customFormat="1" x14ac:dyDescent="0.25">
      <c r="C600" s="39"/>
      <c r="E600" s="59"/>
      <c r="F600" s="68"/>
    </row>
    <row r="601" spans="3:6" s="32" customFormat="1" x14ac:dyDescent="0.25">
      <c r="C601" s="39"/>
      <c r="E601" s="59"/>
      <c r="F601" s="68"/>
    </row>
    <row r="602" spans="3:6" s="32" customFormat="1" x14ac:dyDescent="0.25">
      <c r="C602" s="39"/>
      <c r="E602" s="59"/>
      <c r="F602" s="68"/>
    </row>
    <row r="603" spans="3:6" s="32" customFormat="1" x14ac:dyDescent="0.25">
      <c r="C603" s="39"/>
      <c r="E603" s="59"/>
      <c r="F603" s="68"/>
    </row>
    <row r="604" spans="3:6" s="32" customFormat="1" x14ac:dyDescent="0.25">
      <c r="C604" s="39"/>
      <c r="E604" s="59"/>
      <c r="F604" s="68"/>
    </row>
    <row r="605" spans="3:6" s="32" customFormat="1" x14ac:dyDescent="0.25">
      <c r="C605" s="39"/>
      <c r="E605" s="59"/>
      <c r="F605" s="68"/>
    </row>
    <row r="606" spans="3:6" s="32" customFormat="1" x14ac:dyDescent="0.25">
      <c r="C606" s="39"/>
      <c r="E606" s="59"/>
      <c r="F606" s="68"/>
    </row>
    <row r="607" spans="3:6" s="32" customFormat="1" x14ac:dyDescent="0.25">
      <c r="C607" s="39"/>
      <c r="E607" s="59"/>
      <c r="F607" s="68"/>
    </row>
    <row r="608" spans="3:6" s="32" customFormat="1" x14ac:dyDescent="0.25">
      <c r="C608" s="39"/>
      <c r="E608" s="59"/>
      <c r="F608" s="68"/>
    </row>
    <row r="609" spans="3:6" s="32" customFormat="1" x14ac:dyDescent="0.25">
      <c r="C609" s="39"/>
      <c r="E609" s="59"/>
      <c r="F609" s="68"/>
    </row>
    <row r="610" spans="3:6" s="32" customFormat="1" x14ac:dyDescent="0.25">
      <c r="C610" s="39"/>
      <c r="E610" s="59"/>
      <c r="F610" s="68"/>
    </row>
    <row r="611" spans="3:6" s="32" customFormat="1" x14ac:dyDescent="0.25">
      <c r="C611" s="39"/>
      <c r="E611" s="59"/>
      <c r="F611" s="68"/>
    </row>
    <row r="612" spans="3:6" s="32" customFormat="1" x14ac:dyDescent="0.25">
      <c r="C612" s="39"/>
      <c r="E612" s="59"/>
      <c r="F612" s="68"/>
    </row>
    <row r="613" spans="3:6" s="32" customFormat="1" x14ac:dyDescent="0.25">
      <c r="C613" s="39"/>
      <c r="E613" s="59"/>
      <c r="F613" s="68"/>
    </row>
    <row r="614" spans="3:6" s="32" customFormat="1" x14ac:dyDescent="0.25">
      <c r="C614" s="39"/>
      <c r="E614" s="59"/>
      <c r="F614" s="68"/>
    </row>
    <row r="615" spans="3:6" s="32" customFormat="1" x14ac:dyDescent="0.25">
      <c r="C615" s="39"/>
      <c r="E615" s="59"/>
      <c r="F615" s="68"/>
    </row>
    <row r="616" spans="3:6" s="32" customFormat="1" x14ac:dyDescent="0.25">
      <c r="C616" s="39"/>
      <c r="E616" s="59"/>
      <c r="F616" s="68"/>
    </row>
    <row r="617" spans="3:6" s="32" customFormat="1" x14ac:dyDescent="0.25">
      <c r="C617" s="39"/>
      <c r="E617" s="59"/>
      <c r="F617" s="68"/>
    </row>
    <row r="618" spans="3:6" s="32" customFormat="1" x14ac:dyDescent="0.25">
      <c r="C618" s="39"/>
      <c r="E618" s="59"/>
      <c r="F618" s="68"/>
    </row>
    <row r="619" spans="3:6" s="32" customFormat="1" x14ac:dyDescent="0.25">
      <c r="C619" s="39"/>
      <c r="E619" s="59"/>
      <c r="F619" s="68"/>
    </row>
    <row r="620" spans="3:6" s="32" customFormat="1" x14ac:dyDescent="0.25">
      <c r="C620" s="39"/>
      <c r="E620" s="59"/>
      <c r="F620" s="68"/>
    </row>
    <row r="621" spans="3:6" s="32" customFormat="1" x14ac:dyDescent="0.25">
      <c r="C621" s="39"/>
      <c r="E621" s="59"/>
      <c r="F621" s="68"/>
    </row>
    <row r="622" spans="3:6" s="32" customFormat="1" x14ac:dyDescent="0.25">
      <c r="C622" s="39"/>
      <c r="E622" s="59"/>
      <c r="F622" s="68"/>
    </row>
    <row r="623" spans="3:6" s="32" customFormat="1" x14ac:dyDescent="0.25">
      <c r="C623" s="39"/>
      <c r="E623" s="59"/>
      <c r="F623" s="68"/>
    </row>
    <row r="624" spans="3:6" s="32" customFormat="1" x14ac:dyDescent="0.25">
      <c r="C624" s="39"/>
      <c r="E624" s="59"/>
      <c r="F624" s="68"/>
    </row>
    <row r="625" spans="3:6" s="32" customFormat="1" x14ac:dyDescent="0.25">
      <c r="C625" s="39"/>
      <c r="E625" s="59"/>
      <c r="F625" s="68"/>
    </row>
    <row r="626" spans="3:6" s="32" customFormat="1" x14ac:dyDescent="0.25">
      <c r="C626" s="39"/>
      <c r="E626" s="59"/>
      <c r="F626" s="68"/>
    </row>
    <row r="627" spans="3:6" s="32" customFormat="1" x14ac:dyDescent="0.25">
      <c r="C627" s="39"/>
      <c r="E627" s="59"/>
      <c r="F627" s="68"/>
    </row>
    <row r="628" spans="3:6" s="32" customFormat="1" x14ac:dyDescent="0.25">
      <c r="C628" s="39"/>
      <c r="E628" s="59"/>
      <c r="F628" s="68"/>
    </row>
    <row r="629" spans="3:6" s="32" customFormat="1" x14ac:dyDescent="0.25">
      <c r="C629" s="39"/>
      <c r="E629" s="59"/>
      <c r="F629" s="68"/>
    </row>
    <row r="630" spans="3:6" s="32" customFormat="1" x14ac:dyDescent="0.25">
      <c r="C630" s="39"/>
      <c r="E630" s="59"/>
      <c r="F630" s="68"/>
    </row>
    <row r="631" spans="3:6" s="32" customFormat="1" x14ac:dyDescent="0.25">
      <c r="C631" s="39"/>
      <c r="E631" s="59"/>
      <c r="F631" s="68"/>
    </row>
    <row r="632" spans="3:6" s="32" customFormat="1" x14ac:dyDescent="0.25">
      <c r="C632" s="39"/>
      <c r="E632" s="59"/>
      <c r="F632" s="68"/>
    </row>
    <row r="633" spans="3:6" s="32" customFormat="1" x14ac:dyDescent="0.25">
      <c r="C633" s="39"/>
      <c r="E633" s="59"/>
      <c r="F633" s="68"/>
    </row>
    <row r="634" spans="3:6" s="32" customFormat="1" x14ac:dyDescent="0.25">
      <c r="C634" s="39"/>
      <c r="E634" s="59"/>
      <c r="F634" s="68"/>
    </row>
    <row r="635" spans="3:6" s="32" customFormat="1" x14ac:dyDescent="0.25">
      <c r="C635" s="39"/>
      <c r="E635" s="59"/>
      <c r="F635" s="68"/>
    </row>
    <row r="636" spans="3:6" s="32" customFormat="1" x14ac:dyDescent="0.25">
      <c r="C636" s="39"/>
      <c r="E636" s="59"/>
      <c r="F636" s="68"/>
    </row>
    <row r="637" spans="3:6" s="32" customFormat="1" x14ac:dyDescent="0.25">
      <c r="C637" s="39"/>
      <c r="E637" s="59"/>
      <c r="F637" s="68"/>
    </row>
    <row r="638" spans="3:6" s="32" customFormat="1" x14ac:dyDescent="0.25">
      <c r="C638" s="39"/>
      <c r="E638" s="59"/>
      <c r="F638" s="68"/>
    </row>
    <row r="639" spans="3:6" s="32" customFormat="1" x14ac:dyDescent="0.25">
      <c r="C639" s="39"/>
      <c r="E639" s="59"/>
      <c r="F639" s="68"/>
    </row>
    <row r="640" spans="3:6" s="32" customFormat="1" x14ac:dyDescent="0.25">
      <c r="C640" s="39"/>
      <c r="E640" s="59"/>
      <c r="F640" s="68"/>
    </row>
    <row r="641" spans="3:6" s="32" customFormat="1" x14ac:dyDescent="0.25">
      <c r="C641" s="39"/>
      <c r="E641" s="59"/>
      <c r="F641" s="68"/>
    </row>
    <row r="642" spans="3:6" s="32" customFormat="1" x14ac:dyDescent="0.25">
      <c r="C642" s="39"/>
      <c r="E642" s="59"/>
      <c r="F642" s="68"/>
    </row>
    <row r="643" spans="3:6" s="32" customFormat="1" x14ac:dyDescent="0.25">
      <c r="C643" s="39"/>
      <c r="E643" s="59"/>
      <c r="F643" s="68"/>
    </row>
    <row r="644" spans="3:6" s="32" customFormat="1" x14ac:dyDescent="0.25">
      <c r="C644" s="39"/>
      <c r="E644" s="59"/>
      <c r="F644" s="68"/>
    </row>
    <row r="645" spans="3:6" s="32" customFormat="1" x14ac:dyDescent="0.25">
      <c r="C645" s="39"/>
      <c r="E645" s="59"/>
      <c r="F645" s="68"/>
    </row>
    <row r="646" spans="3:6" s="32" customFormat="1" x14ac:dyDescent="0.25">
      <c r="C646" s="39"/>
      <c r="E646" s="59"/>
      <c r="F646" s="68"/>
    </row>
    <row r="647" spans="3:6" s="32" customFormat="1" x14ac:dyDescent="0.25">
      <c r="C647" s="39"/>
      <c r="E647" s="59"/>
      <c r="F647" s="68"/>
    </row>
    <row r="648" spans="3:6" s="32" customFormat="1" x14ac:dyDescent="0.25">
      <c r="C648" s="39"/>
      <c r="E648" s="59"/>
      <c r="F648" s="68"/>
    </row>
    <row r="649" spans="3:6" s="32" customFormat="1" x14ac:dyDescent="0.25">
      <c r="C649" s="39"/>
      <c r="E649" s="59"/>
      <c r="F649" s="68"/>
    </row>
    <row r="650" spans="3:6" s="32" customFormat="1" x14ac:dyDescent="0.25">
      <c r="C650" s="39"/>
      <c r="E650" s="59"/>
      <c r="F650" s="68"/>
    </row>
    <row r="651" spans="3:6" s="32" customFormat="1" x14ac:dyDescent="0.25">
      <c r="C651" s="39"/>
      <c r="E651" s="59"/>
      <c r="F651" s="68"/>
    </row>
    <row r="652" spans="3:6" s="32" customFormat="1" x14ac:dyDescent="0.25">
      <c r="C652" s="39"/>
      <c r="E652" s="59"/>
      <c r="F652" s="68"/>
    </row>
    <row r="653" spans="3:6" s="32" customFormat="1" x14ac:dyDescent="0.25">
      <c r="C653" s="39"/>
      <c r="E653" s="59"/>
      <c r="F653" s="68"/>
    </row>
    <row r="654" spans="3:6" s="32" customFormat="1" x14ac:dyDescent="0.25">
      <c r="C654" s="39"/>
      <c r="E654" s="59"/>
      <c r="F654" s="68"/>
    </row>
    <row r="655" spans="3:6" s="32" customFormat="1" x14ac:dyDescent="0.25">
      <c r="C655" s="39"/>
      <c r="E655" s="59"/>
      <c r="F655" s="68"/>
    </row>
    <row r="656" spans="3:6" s="32" customFormat="1" x14ac:dyDescent="0.25">
      <c r="C656" s="39"/>
      <c r="E656" s="59"/>
      <c r="F656" s="68"/>
    </row>
    <row r="657" spans="3:6" s="32" customFormat="1" x14ac:dyDescent="0.25">
      <c r="C657" s="39"/>
      <c r="E657" s="59"/>
      <c r="F657" s="68"/>
    </row>
    <row r="658" spans="3:6" s="32" customFormat="1" x14ac:dyDescent="0.25">
      <c r="C658" s="39"/>
      <c r="E658" s="59"/>
      <c r="F658" s="68"/>
    </row>
    <row r="659" spans="3:6" s="32" customFormat="1" x14ac:dyDescent="0.25">
      <c r="C659" s="39"/>
      <c r="E659" s="59"/>
      <c r="F659" s="68"/>
    </row>
    <row r="660" spans="3:6" s="32" customFormat="1" x14ac:dyDescent="0.25">
      <c r="C660" s="39"/>
      <c r="E660" s="59"/>
      <c r="F660" s="68"/>
    </row>
    <row r="661" spans="3:6" s="32" customFormat="1" x14ac:dyDescent="0.25">
      <c r="C661" s="39"/>
      <c r="E661" s="59"/>
      <c r="F661" s="68"/>
    </row>
    <row r="662" spans="3:6" s="32" customFormat="1" x14ac:dyDescent="0.25">
      <c r="C662" s="39"/>
      <c r="E662" s="59"/>
      <c r="F662" s="68"/>
    </row>
    <row r="663" spans="3:6" s="32" customFormat="1" x14ac:dyDescent="0.25">
      <c r="C663" s="39"/>
      <c r="E663" s="59"/>
      <c r="F663" s="68"/>
    </row>
    <row r="664" spans="3:6" s="32" customFormat="1" x14ac:dyDescent="0.25">
      <c r="C664" s="39"/>
      <c r="E664" s="59"/>
      <c r="F664" s="68"/>
    </row>
    <row r="665" spans="3:6" s="32" customFormat="1" x14ac:dyDescent="0.25">
      <c r="C665" s="39"/>
      <c r="E665" s="59"/>
      <c r="F665" s="68"/>
    </row>
    <row r="666" spans="3:6" s="32" customFormat="1" x14ac:dyDescent="0.25">
      <c r="C666" s="39"/>
      <c r="E666" s="59"/>
      <c r="F666" s="68"/>
    </row>
    <row r="667" spans="3:6" s="32" customFormat="1" x14ac:dyDescent="0.25">
      <c r="C667" s="39"/>
      <c r="E667" s="59"/>
      <c r="F667" s="68"/>
    </row>
    <row r="668" spans="3:6" s="32" customFormat="1" x14ac:dyDescent="0.25">
      <c r="C668" s="39"/>
      <c r="E668" s="59"/>
      <c r="F668" s="68"/>
    </row>
    <row r="669" spans="3:6" s="32" customFormat="1" x14ac:dyDescent="0.25">
      <c r="C669" s="39"/>
      <c r="E669" s="59"/>
      <c r="F669" s="68"/>
    </row>
    <row r="670" spans="3:6" s="32" customFormat="1" x14ac:dyDescent="0.25">
      <c r="C670" s="39"/>
      <c r="E670" s="59"/>
      <c r="F670" s="68"/>
    </row>
    <row r="671" spans="3:6" s="32" customFormat="1" x14ac:dyDescent="0.25">
      <c r="C671" s="39"/>
      <c r="E671" s="59"/>
      <c r="F671" s="68"/>
    </row>
    <row r="672" spans="3:6" s="32" customFormat="1" x14ac:dyDescent="0.25">
      <c r="C672" s="39"/>
      <c r="E672" s="59"/>
      <c r="F672" s="68"/>
    </row>
    <row r="673" spans="3:6" s="32" customFormat="1" x14ac:dyDescent="0.25">
      <c r="C673" s="39"/>
      <c r="E673" s="59"/>
      <c r="F673" s="68"/>
    </row>
    <row r="674" spans="3:6" s="32" customFormat="1" x14ac:dyDescent="0.25">
      <c r="C674" s="39"/>
      <c r="E674" s="59"/>
      <c r="F674" s="68"/>
    </row>
    <row r="675" spans="3:6" s="32" customFormat="1" x14ac:dyDescent="0.25">
      <c r="C675" s="39"/>
      <c r="E675" s="59"/>
      <c r="F675" s="68"/>
    </row>
    <row r="676" spans="3:6" s="32" customFormat="1" x14ac:dyDescent="0.25">
      <c r="C676" s="39"/>
      <c r="E676" s="59"/>
      <c r="F676" s="68"/>
    </row>
    <row r="677" spans="3:6" s="32" customFormat="1" x14ac:dyDescent="0.25">
      <c r="C677" s="39"/>
      <c r="E677" s="59"/>
      <c r="F677" s="68"/>
    </row>
    <row r="678" spans="3:6" s="32" customFormat="1" x14ac:dyDescent="0.25">
      <c r="C678" s="39"/>
      <c r="E678" s="59"/>
      <c r="F678" s="68"/>
    </row>
    <row r="679" spans="3:6" s="32" customFormat="1" x14ac:dyDescent="0.25">
      <c r="C679" s="39"/>
      <c r="E679" s="59"/>
      <c r="F679" s="68"/>
    </row>
    <row r="680" spans="3:6" s="32" customFormat="1" x14ac:dyDescent="0.25">
      <c r="C680" s="39"/>
      <c r="E680" s="59"/>
      <c r="F680" s="68"/>
    </row>
    <row r="681" spans="3:6" s="32" customFormat="1" x14ac:dyDescent="0.25">
      <c r="C681" s="39"/>
      <c r="E681" s="59"/>
      <c r="F681" s="68"/>
    </row>
    <row r="682" spans="3:6" s="32" customFormat="1" x14ac:dyDescent="0.25">
      <c r="C682" s="39"/>
      <c r="E682" s="59"/>
      <c r="F682" s="68"/>
    </row>
    <row r="683" spans="3:6" s="32" customFormat="1" x14ac:dyDescent="0.25">
      <c r="C683" s="39"/>
      <c r="E683" s="59"/>
      <c r="F683" s="68"/>
    </row>
    <row r="684" spans="3:6" s="32" customFormat="1" x14ac:dyDescent="0.25">
      <c r="C684" s="39"/>
      <c r="E684" s="59"/>
      <c r="F684" s="68"/>
    </row>
    <row r="685" spans="3:6" s="32" customFormat="1" x14ac:dyDescent="0.25">
      <c r="C685" s="39"/>
      <c r="E685" s="59"/>
      <c r="F685" s="68"/>
    </row>
    <row r="686" spans="3:6" s="32" customFormat="1" x14ac:dyDescent="0.25">
      <c r="C686" s="39"/>
      <c r="E686" s="59"/>
      <c r="F686" s="68"/>
    </row>
    <row r="687" spans="3:6" s="32" customFormat="1" x14ac:dyDescent="0.25">
      <c r="C687" s="39"/>
      <c r="E687" s="59"/>
      <c r="F687" s="68"/>
    </row>
    <row r="688" spans="3:6" s="32" customFormat="1" x14ac:dyDescent="0.25">
      <c r="C688" s="39"/>
      <c r="E688" s="59"/>
      <c r="F688" s="68"/>
    </row>
    <row r="689" spans="3:6" s="32" customFormat="1" x14ac:dyDescent="0.25">
      <c r="C689" s="39"/>
      <c r="E689" s="59"/>
      <c r="F689" s="68"/>
    </row>
    <row r="690" spans="3:6" s="32" customFormat="1" x14ac:dyDescent="0.25">
      <c r="C690" s="39"/>
      <c r="E690" s="59"/>
      <c r="F690" s="68"/>
    </row>
    <row r="691" spans="3:6" s="32" customFormat="1" x14ac:dyDescent="0.25">
      <c r="C691" s="39"/>
      <c r="E691" s="59"/>
      <c r="F691" s="68"/>
    </row>
    <row r="692" spans="3:6" s="32" customFormat="1" x14ac:dyDescent="0.25">
      <c r="C692" s="39"/>
      <c r="E692" s="59"/>
      <c r="F692" s="68"/>
    </row>
    <row r="693" spans="3:6" s="32" customFormat="1" x14ac:dyDescent="0.25">
      <c r="C693" s="39"/>
      <c r="E693" s="59"/>
      <c r="F693" s="68"/>
    </row>
    <row r="694" spans="3:6" s="32" customFormat="1" x14ac:dyDescent="0.25">
      <c r="C694" s="39"/>
      <c r="E694" s="59"/>
      <c r="F694" s="68"/>
    </row>
    <row r="695" spans="3:6" s="32" customFormat="1" x14ac:dyDescent="0.25">
      <c r="C695" s="39"/>
      <c r="E695" s="59"/>
      <c r="F695" s="68"/>
    </row>
    <row r="696" spans="3:6" s="32" customFormat="1" x14ac:dyDescent="0.25">
      <c r="C696" s="39"/>
      <c r="E696" s="59"/>
      <c r="F696" s="68"/>
    </row>
    <row r="697" spans="3:6" s="32" customFormat="1" x14ac:dyDescent="0.25">
      <c r="C697" s="39"/>
      <c r="E697" s="59"/>
      <c r="F697" s="68"/>
    </row>
    <row r="698" spans="3:6" s="32" customFormat="1" x14ac:dyDescent="0.25">
      <c r="C698" s="39"/>
      <c r="E698" s="59"/>
      <c r="F698" s="68"/>
    </row>
    <row r="699" spans="3:6" s="32" customFormat="1" x14ac:dyDescent="0.25">
      <c r="C699" s="39"/>
      <c r="E699" s="59"/>
      <c r="F699" s="68"/>
    </row>
    <row r="700" spans="3:6" s="32" customFormat="1" x14ac:dyDescent="0.25">
      <c r="C700" s="39"/>
      <c r="E700" s="59"/>
      <c r="F700" s="68"/>
    </row>
    <row r="701" spans="3:6" s="32" customFormat="1" x14ac:dyDescent="0.25">
      <c r="C701" s="39"/>
      <c r="E701" s="59"/>
      <c r="F701" s="68"/>
    </row>
    <row r="702" spans="3:6" s="32" customFormat="1" x14ac:dyDescent="0.25">
      <c r="C702" s="39"/>
      <c r="E702" s="59"/>
      <c r="F702" s="68"/>
    </row>
    <row r="703" spans="3:6" s="32" customFormat="1" x14ac:dyDescent="0.25">
      <c r="C703" s="39"/>
      <c r="E703" s="59"/>
      <c r="F703" s="68"/>
    </row>
    <row r="704" spans="3:6" s="32" customFormat="1" x14ac:dyDescent="0.25">
      <c r="C704" s="39"/>
      <c r="E704" s="59"/>
      <c r="F704" s="68"/>
    </row>
    <row r="705" spans="3:6" s="32" customFormat="1" x14ac:dyDescent="0.25">
      <c r="C705" s="39"/>
      <c r="E705" s="59"/>
      <c r="F705" s="68"/>
    </row>
    <row r="706" spans="3:6" s="32" customFormat="1" x14ac:dyDescent="0.25">
      <c r="C706" s="39"/>
      <c r="E706" s="59"/>
      <c r="F706" s="68"/>
    </row>
    <row r="707" spans="3:6" s="32" customFormat="1" x14ac:dyDescent="0.25">
      <c r="C707" s="39"/>
      <c r="E707" s="59"/>
      <c r="F707" s="68"/>
    </row>
    <row r="708" spans="3:6" s="32" customFormat="1" x14ac:dyDescent="0.25">
      <c r="C708" s="39"/>
      <c r="E708" s="59"/>
      <c r="F708" s="68"/>
    </row>
    <row r="709" spans="3:6" s="32" customFormat="1" x14ac:dyDescent="0.25">
      <c r="C709" s="39"/>
      <c r="E709" s="59"/>
      <c r="F709" s="68"/>
    </row>
    <row r="710" spans="3:6" s="32" customFormat="1" x14ac:dyDescent="0.25">
      <c r="C710" s="39"/>
      <c r="E710" s="59"/>
      <c r="F710" s="68"/>
    </row>
    <row r="711" spans="3:6" s="32" customFormat="1" x14ac:dyDescent="0.25">
      <c r="C711" s="39"/>
      <c r="E711" s="59"/>
      <c r="F711" s="68"/>
    </row>
    <row r="712" spans="3:6" s="32" customFormat="1" x14ac:dyDescent="0.25">
      <c r="C712" s="39"/>
      <c r="E712" s="59"/>
      <c r="F712" s="68"/>
    </row>
    <row r="713" spans="3:6" s="32" customFormat="1" x14ac:dyDescent="0.25">
      <c r="C713" s="39"/>
      <c r="E713" s="59"/>
      <c r="F713" s="68"/>
    </row>
    <row r="714" spans="3:6" s="32" customFormat="1" x14ac:dyDescent="0.25">
      <c r="C714" s="39"/>
      <c r="E714" s="59"/>
      <c r="F714" s="68"/>
    </row>
    <row r="715" spans="3:6" s="32" customFormat="1" x14ac:dyDescent="0.25">
      <c r="C715" s="39"/>
      <c r="E715" s="59"/>
      <c r="F715" s="68"/>
    </row>
    <row r="716" spans="3:6" s="32" customFormat="1" x14ac:dyDescent="0.25">
      <c r="C716" s="39"/>
      <c r="E716" s="59"/>
      <c r="F716" s="68"/>
    </row>
    <row r="717" spans="3:6" s="32" customFormat="1" x14ac:dyDescent="0.25">
      <c r="C717" s="39"/>
      <c r="E717" s="59"/>
      <c r="F717" s="68"/>
    </row>
    <row r="718" spans="3:6" s="32" customFormat="1" x14ac:dyDescent="0.25">
      <c r="C718" s="39"/>
      <c r="E718" s="59"/>
      <c r="F718" s="68"/>
    </row>
    <row r="719" spans="3:6" s="32" customFormat="1" x14ac:dyDescent="0.25">
      <c r="C719" s="39"/>
      <c r="E719" s="59"/>
      <c r="F719" s="68"/>
    </row>
    <row r="720" spans="3:6" s="32" customFormat="1" x14ac:dyDescent="0.25">
      <c r="C720" s="39"/>
      <c r="E720" s="59"/>
      <c r="F720" s="68"/>
    </row>
    <row r="721" spans="3:6" s="32" customFormat="1" x14ac:dyDescent="0.25">
      <c r="C721" s="39"/>
      <c r="E721" s="59"/>
      <c r="F721" s="68"/>
    </row>
    <row r="722" spans="3:6" s="32" customFormat="1" x14ac:dyDescent="0.25">
      <c r="C722" s="39"/>
      <c r="E722" s="59"/>
      <c r="F722" s="68"/>
    </row>
    <row r="723" spans="3:6" s="32" customFormat="1" x14ac:dyDescent="0.25">
      <c r="C723" s="39"/>
      <c r="E723" s="59"/>
      <c r="F723" s="68"/>
    </row>
    <row r="724" spans="3:6" s="32" customFormat="1" x14ac:dyDescent="0.25">
      <c r="C724" s="39"/>
      <c r="E724" s="59"/>
      <c r="F724" s="68"/>
    </row>
    <row r="725" spans="3:6" s="32" customFormat="1" x14ac:dyDescent="0.25">
      <c r="C725" s="39"/>
      <c r="E725" s="59"/>
      <c r="F725" s="68"/>
    </row>
    <row r="726" spans="3:6" s="32" customFormat="1" x14ac:dyDescent="0.25">
      <c r="C726" s="39"/>
      <c r="E726" s="59"/>
      <c r="F726" s="68"/>
    </row>
    <row r="727" spans="3:6" s="32" customFormat="1" x14ac:dyDescent="0.25">
      <c r="C727" s="39"/>
      <c r="E727" s="59"/>
      <c r="F727" s="68"/>
    </row>
    <row r="728" spans="3:6" s="32" customFormat="1" x14ac:dyDescent="0.25">
      <c r="C728" s="39"/>
      <c r="E728" s="59"/>
      <c r="F728" s="68"/>
    </row>
    <row r="729" spans="3:6" s="32" customFormat="1" x14ac:dyDescent="0.25">
      <c r="C729" s="39"/>
      <c r="E729" s="59"/>
      <c r="F729" s="68"/>
    </row>
    <row r="730" spans="3:6" s="32" customFormat="1" x14ac:dyDescent="0.25">
      <c r="C730" s="39"/>
      <c r="E730" s="59"/>
      <c r="F730" s="68"/>
    </row>
    <row r="731" spans="3:6" s="32" customFormat="1" x14ac:dyDescent="0.25">
      <c r="C731" s="39"/>
      <c r="E731" s="59"/>
      <c r="F731" s="68"/>
    </row>
    <row r="732" spans="3:6" s="32" customFormat="1" x14ac:dyDescent="0.25">
      <c r="C732" s="39"/>
      <c r="E732" s="59"/>
      <c r="F732" s="68"/>
    </row>
    <row r="733" spans="3:6" s="32" customFormat="1" x14ac:dyDescent="0.25">
      <c r="C733" s="39"/>
      <c r="E733" s="59"/>
      <c r="F733" s="68"/>
    </row>
    <row r="734" spans="3:6" s="32" customFormat="1" x14ac:dyDescent="0.25">
      <c r="C734" s="39"/>
      <c r="E734" s="59"/>
      <c r="F734" s="68"/>
    </row>
    <row r="735" spans="3:6" s="32" customFormat="1" x14ac:dyDescent="0.25">
      <c r="C735" s="39"/>
      <c r="E735" s="59"/>
      <c r="F735" s="68"/>
    </row>
    <row r="736" spans="3:6" s="32" customFormat="1" x14ac:dyDescent="0.25">
      <c r="C736" s="39"/>
      <c r="E736" s="59"/>
      <c r="F736" s="68"/>
    </row>
    <row r="737" spans="3:6" s="32" customFormat="1" x14ac:dyDescent="0.25">
      <c r="C737" s="39"/>
      <c r="E737" s="59"/>
      <c r="F737" s="68"/>
    </row>
    <row r="738" spans="3:6" s="32" customFormat="1" x14ac:dyDescent="0.25">
      <c r="C738" s="39"/>
      <c r="E738" s="59"/>
      <c r="F738" s="68"/>
    </row>
    <row r="739" spans="3:6" s="32" customFormat="1" x14ac:dyDescent="0.25">
      <c r="C739" s="39"/>
      <c r="E739" s="59"/>
      <c r="F739" s="68"/>
    </row>
    <row r="740" spans="3:6" s="32" customFormat="1" x14ac:dyDescent="0.25">
      <c r="C740" s="39"/>
      <c r="E740" s="59"/>
      <c r="F740" s="68"/>
    </row>
    <row r="741" spans="3:6" s="32" customFormat="1" x14ac:dyDescent="0.25">
      <c r="C741" s="39"/>
      <c r="E741" s="59"/>
      <c r="F741" s="68"/>
    </row>
    <row r="742" spans="3:6" s="32" customFormat="1" x14ac:dyDescent="0.25">
      <c r="C742" s="39"/>
      <c r="E742" s="59"/>
      <c r="F742" s="68"/>
    </row>
    <row r="743" spans="3:6" s="32" customFormat="1" x14ac:dyDescent="0.25">
      <c r="C743" s="39"/>
      <c r="E743" s="59"/>
      <c r="F743" s="68"/>
    </row>
    <row r="744" spans="3:6" s="32" customFormat="1" x14ac:dyDescent="0.25">
      <c r="C744" s="39"/>
      <c r="E744" s="59"/>
      <c r="F744" s="68"/>
    </row>
    <row r="745" spans="3:6" s="32" customFormat="1" x14ac:dyDescent="0.25">
      <c r="C745" s="39"/>
      <c r="E745" s="59"/>
      <c r="F745" s="68"/>
    </row>
    <row r="746" spans="3:6" s="32" customFormat="1" x14ac:dyDescent="0.25">
      <c r="C746" s="39"/>
      <c r="E746" s="59"/>
      <c r="F746" s="68"/>
    </row>
    <row r="747" spans="3:6" s="32" customFormat="1" x14ac:dyDescent="0.25">
      <c r="C747" s="39"/>
      <c r="E747" s="59"/>
      <c r="F747" s="68"/>
    </row>
    <row r="748" spans="3:6" s="32" customFormat="1" x14ac:dyDescent="0.25">
      <c r="C748" s="39"/>
      <c r="E748" s="59"/>
      <c r="F748" s="68"/>
    </row>
    <row r="749" spans="3:6" s="32" customFormat="1" x14ac:dyDescent="0.25">
      <c r="C749" s="39"/>
      <c r="E749" s="59"/>
      <c r="F749" s="68"/>
    </row>
    <row r="750" spans="3:6" s="32" customFormat="1" x14ac:dyDescent="0.25">
      <c r="C750" s="39"/>
      <c r="E750" s="59"/>
      <c r="F750" s="68"/>
    </row>
    <row r="751" spans="3:6" s="32" customFormat="1" x14ac:dyDescent="0.25">
      <c r="C751" s="39"/>
      <c r="E751" s="59"/>
      <c r="F751" s="68"/>
    </row>
    <row r="752" spans="3:6" s="32" customFormat="1" x14ac:dyDescent="0.25">
      <c r="C752" s="39"/>
      <c r="E752" s="59"/>
      <c r="F752" s="68"/>
    </row>
    <row r="753" spans="3:6" s="32" customFormat="1" x14ac:dyDescent="0.25">
      <c r="C753" s="39"/>
      <c r="E753" s="59"/>
      <c r="F753" s="68"/>
    </row>
    <row r="754" spans="3:6" s="32" customFormat="1" x14ac:dyDescent="0.25">
      <c r="C754" s="39"/>
      <c r="E754" s="59"/>
      <c r="F754" s="68"/>
    </row>
    <row r="755" spans="3:6" s="32" customFormat="1" x14ac:dyDescent="0.25">
      <c r="C755" s="39"/>
      <c r="E755" s="59"/>
      <c r="F755" s="68"/>
    </row>
    <row r="756" spans="3:6" s="32" customFormat="1" x14ac:dyDescent="0.25">
      <c r="C756" s="39"/>
      <c r="E756" s="59"/>
      <c r="F756" s="68"/>
    </row>
    <row r="757" spans="3:6" s="32" customFormat="1" x14ac:dyDescent="0.25">
      <c r="C757" s="39"/>
      <c r="E757" s="59"/>
      <c r="F757" s="68"/>
    </row>
    <row r="758" spans="3:6" s="32" customFormat="1" x14ac:dyDescent="0.25">
      <c r="C758" s="39"/>
      <c r="E758" s="59"/>
      <c r="F758" s="68"/>
    </row>
    <row r="759" spans="3:6" s="32" customFormat="1" x14ac:dyDescent="0.25">
      <c r="C759" s="39"/>
      <c r="E759" s="59"/>
      <c r="F759" s="68"/>
    </row>
    <row r="760" spans="3:6" s="32" customFormat="1" x14ac:dyDescent="0.25">
      <c r="C760" s="39"/>
      <c r="E760" s="59"/>
      <c r="F760" s="68"/>
    </row>
    <row r="761" spans="3:6" s="32" customFormat="1" x14ac:dyDescent="0.25">
      <c r="C761" s="39"/>
      <c r="E761" s="59"/>
      <c r="F761" s="68"/>
    </row>
    <row r="762" spans="3:6" s="32" customFormat="1" x14ac:dyDescent="0.25">
      <c r="C762" s="39"/>
      <c r="E762" s="59"/>
      <c r="F762" s="68"/>
    </row>
    <row r="763" spans="3:6" s="32" customFormat="1" x14ac:dyDescent="0.25">
      <c r="C763" s="39"/>
      <c r="E763" s="59"/>
      <c r="F763" s="68"/>
    </row>
    <row r="764" spans="3:6" s="32" customFormat="1" x14ac:dyDescent="0.25">
      <c r="C764" s="39"/>
      <c r="E764" s="59"/>
      <c r="F764" s="68"/>
    </row>
    <row r="765" spans="3:6" s="32" customFormat="1" x14ac:dyDescent="0.25">
      <c r="C765" s="39"/>
      <c r="E765" s="59"/>
      <c r="F765" s="68"/>
    </row>
    <row r="766" spans="3:6" s="32" customFormat="1" x14ac:dyDescent="0.25">
      <c r="C766" s="39"/>
      <c r="E766" s="59"/>
      <c r="F766" s="68"/>
    </row>
    <row r="767" spans="3:6" s="32" customFormat="1" x14ac:dyDescent="0.25">
      <c r="C767" s="39"/>
      <c r="E767" s="59"/>
      <c r="F767" s="68"/>
    </row>
    <row r="768" spans="3:6" s="32" customFormat="1" x14ac:dyDescent="0.25">
      <c r="C768" s="39"/>
      <c r="E768" s="59"/>
      <c r="F768" s="68"/>
    </row>
    <row r="769" spans="3:6" s="32" customFormat="1" x14ac:dyDescent="0.25">
      <c r="C769" s="39"/>
      <c r="E769" s="59"/>
      <c r="F769" s="68"/>
    </row>
    <row r="770" spans="3:6" s="32" customFormat="1" x14ac:dyDescent="0.25">
      <c r="C770" s="39"/>
      <c r="E770" s="59"/>
      <c r="F770" s="68"/>
    </row>
    <row r="771" spans="3:6" s="32" customFormat="1" x14ac:dyDescent="0.25">
      <c r="C771" s="39"/>
      <c r="E771" s="59"/>
      <c r="F771" s="68"/>
    </row>
    <row r="772" spans="3:6" s="32" customFormat="1" x14ac:dyDescent="0.25">
      <c r="C772" s="39"/>
      <c r="E772" s="59"/>
      <c r="F772" s="68"/>
    </row>
    <row r="773" spans="3:6" s="32" customFormat="1" x14ac:dyDescent="0.25">
      <c r="C773" s="39"/>
      <c r="E773" s="59"/>
      <c r="F773" s="68"/>
    </row>
    <row r="774" spans="3:6" s="32" customFormat="1" x14ac:dyDescent="0.25">
      <c r="C774" s="39"/>
      <c r="E774" s="59"/>
      <c r="F774" s="68"/>
    </row>
    <row r="775" spans="3:6" s="32" customFormat="1" x14ac:dyDescent="0.25">
      <c r="C775" s="39"/>
      <c r="E775" s="59"/>
      <c r="F775" s="68"/>
    </row>
    <row r="776" spans="3:6" s="32" customFormat="1" x14ac:dyDescent="0.25">
      <c r="C776" s="39"/>
      <c r="E776" s="59"/>
      <c r="F776" s="68"/>
    </row>
    <row r="777" spans="3:6" s="32" customFormat="1" x14ac:dyDescent="0.25">
      <c r="C777" s="39"/>
      <c r="E777" s="59"/>
      <c r="F777" s="68"/>
    </row>
    <row r="778" spans="3:6" s="32" customFormat="1" x14ac:dyDescent="0.25">
      <c r="C778" s="39"/>
      <c r="E778" s="59"/>
      <c r="F778" s="68"/>
    </row>
    <row r="779" spans="3:6" s="32" customFormat="1" x14ac:dyDescent="0.25">
      <c r="C779" s="39"/>
      <c r="E779" s="59"/>
      <c r="F779" s="68"/>
    </row>
    <row r="780" spans="3:6" s="32" customFormat="1" x14ac:dyDescent="0.25">
      <c r="C780" s="39"/>
      <c r="E780" s="59"/>
      <c r="F780" s="68"/>
    </row>
    <row r="781" spans="3:6" s="32" customFormat="1" x14ac:dyDescent="0.25">
      <c r="C781" s="39"/>
      <c r="E781" s="59"/>
      <c r="F781" s="68"/>
    </row>
    <row r="782" spans="3:6" s="32" customFormat="1" x14ac:dyDescent="0.25">
      <c r="C782" s="39"/>
      <c r="E782" s="59"/>
      <c r="F782" s="68"/>
    </row>
    <row r="783" spans="3:6" s="32" customFormat="1" x14ac:dyDescent="0.25">
      <c r="C783" s="39"/>
      <c r="E783" s="59"/>
      <c r="F783" s="68"/>
    </row>
    <row r="784" spans="3:6" s="32" customFormat="1" x14ac:dyDescent="0.25">
      <c r="C784" s="39"/>
      <c r="E784" s="59"/>
      <c r="F784" s="68"/>
    </row>
    <row r="785" spans="3:6" s="32" customFormat="1" x14ac:dyDescent="0.25">
      <c r="C785" s="39"/>
      <c r="E785" s="59"/>
      <c r="F785" s="68"/>
    </row>
    <row r="786" spans="3:6" s="32" customFormat="1" x14ac:dyDescent="0.25">
      <c r="C786" s="39"/>
      <c r="E786" s="59"/>
      <c r="F786" s="68"/>
    </row>
    <row r="787" spans="3:6" s="32" customFormat="1" x14ac:dyDescent="0.25">
      <c r="C787" s="39"/>
      <c r="E787" s="59"/>
      <c r="F787" s="68"/>
    </row>
    <row r="788" spans="3:6" s="32" customFormat="1" x14ac:dyDescent="0.25">
      <c r="C788" s="39"/>
      <c r="E788" s="59"/>
      <c r="F788" s="68"/>
    </row>
    <row r="789" spans="3:6" s="32" customFormat="1" x14ac:dyDescent="0.25">
      <c r="C789" s="39"/>
      <c r="E789" s="59"/>
      <c r="F789" s="68"/>
    </row>
    <row r="790" spans="3:6" s="32" customFormat="1" x14ac:dyDescent="0.25">
      <c r="C790" s="39"/>
      <c r="E790" s="59"/>
      <c r="F790" s="68"/>
    </row>
    <row r="791" spans="3:6" s="32" customFormat="1" x14ac:dyDescent="0.25">
      <c r="C791" s="39"/>
      <c r="E791" s="59"/>
      <c r="F791" s="68"/>
    </row>
    <row r="792" spans="3:6" s="32" customFormat="1" x14ac:dyDescent="0.25">
      <c r="C792" s="39"/>
      <c r="E792" s="59"/>
      <c r="F792" s="68"/>
    </row>
    <row r="793" spans="3:6" s="32" customFormat="1" x14ac:dyDescent="0.25">
      <c r="C793" s="39"/>
      <c r="E793" s="59"/>
      <c r="F793" s="68"/>
    </row>
    <row r="794" spans="3:6" s="32" customFormat="1" x14ac:dyDescent="0.25">
      <c r="C794" s="39"/>
      <c r="E794" s="59"/>
      <c r="F794" s="68"/>
    </row>
    <row r="795" spans="3:6" s="32" customFormat="1" x14ac:dyDescent="0.25">
      <c r="C795" s="39"/>
      <c r="E795" s="59"/>
      <c r="F795" s="68"/>
    </row>
    <row r="796" spans="3:6" s="32" customFormat="1" x14ac:dyDescent="0.25">
      <c r="C796" s="39"/>
      <c r="E796" s="59"/>
      <c r="F796" s="68"/>
    </row>
    <row r="797" spans="3:6" s="32" customFormat="1" x14ac:dyDescent="0.25">
      <c r="C797" s="39"/>
      <c r="E797" s="59"/>
      <c r="F797" s="68"/>
    </row>
    <row r="798" spans="3:6" s="32" customFormat="1" x14ac:dyDescent="0.25">
      <c r="C798" s="39"/>
      <c r="E798" s="59"/>
      <c r="F798" s="68"/>
    </row>
    <row r="799" spans="3:6" s="32" customFormat="1" x14ac:dyDescent="0.25">
      <c r="C799" s="39"/>
      <c r="E799" s="59"/>
      <c r="F799" s="68"/>
    </row>
    <row r="800" spans="3:6" s="32" customFormat="1" x14ac:dyDescent="0.25">
      <c r="C800" s="39"/>
      <c r="E800" s="59"/>
      <c r="F800" s="68"/>
    </row>
    <row r="801" spans="3:6" s="32" customFormat="1" x14ac:dyDescent="0.25">
      <c r="C801" s="39"/>
      <c r="E801" s="59"/>
      <c r="F801" s="68"/>
    </row>
    <row r="802" spans="3:6" s="32" customFormat="1" x14ac:dyDescent="0.25">
      <c r="C802" s="39"/>
      <c r="E802" s="59"/>
      <c r="F802" s="68"/>
    </row>
    <row r="803" spans="3:6" s="32" customFormat="1" x14ac:dyDescent="0.25">
      <c r="C803" s="39"/>
      <c r="E803" s="59"/>
      <c r="F803" s="68"/>
    </row>
    <row r="804" spans="3:6" s="32" customFormat="1" x14ac:dyDescent="0.25">
      <c r="C804" s="39"/>
      <c r="E804" s="59"/>
      <c r="F804" s="68"/>
    </row>
    <row r="805" spans="3:6" s="32" customFormat="1" x14ac:dyDescent="0.25">
      <c r="C805" s="39"/>
      <c r="E805" s="59"/>
      <c r="F805" s="68"/>
    </row>
    <row r="806" spans="3:6" s="32" customFormat="1" x14ac:dyDescent="0.25">
      <c r="C806" s="39"/>
      <c r="E806" s="59"/>
      <c r="F806" s="68"/>
    </row>
    <row r="807" spans="3:6" s="32" customFormat="1" x14ac:dyDescent="0.25">
      <c r="C807" s="39"/>
      <c r="E807" s="59"/>
      <c r="F807" s="68"/>
    </row>
    <row r="808" spans="3:6" s="32" customFormat="1" x14ac:dyDescent="0.25">
      <c r="C808" s="39"/>
      <c r="E808" s="59"/>
      <c r="F808" s="68"/>
    </row>
    <row r="809" spans="3:6" s="32" customFormat="1" x14ac:dyDescent="0.25">
      <c r="C809" s="39"/>
      <c r="E809" s="59"/>
      <c r="F809" s="68"/>
    </row>
    <row r="810" spans="3:6" s="32" customFormat="1" x14ac:dyDescent="0.25">
      <c r="C810" s="39"/>
      <c r="E810" s="59"/>
      <c r="F810" s="68"/>
    </row>
    <row r="811" spans="3:6" s="32" customFormat="1" x14ac:dyDescent="0.25">
      <c r="C811" s="39"/>
      <c r="E811" s="59"/>
      <c r="F811" s="68"/>
    </row>
    <row r="812" spans="3:6" s="32" customFormat="1" x14ac:dyDescent="0.25">
      <c r="C812" s="39"/>
      <c r="E812" s="59"/>
      <c r="F812" s="68"/>
    </row>
    <row r="813" spans="3:6" s="32" customFormat="1" x14ac:dyDescent="0.25">
      <c r="C813" s="39"/>
      <c r="E813" s="59"/>
      <c r="F813" s="68"/>
    </row>
    <row r="814" spans="3:6" s="32" customFormat="1" x14ac:dyDescent="0.25">
      <c r="C814" s="39"/>
      <c r="E814" s="59"/>
      <c r="F814" s="68"/>
    </row>
    <row r="815" spans="3:6" s="32" customFormat="1" x14ac:dyDescent="0.25">
      <c r="C815" s="39"/>
      <c r="E815" s="59"/>
      <c r="F815" s="68"/>
    </row>
    <row r="816" spans="3:6" s="32" customFormat="1" x14ac:dyDescent="0.25">
      <c r="C816" s="39"/>
      <c r="E816" s="59"/>
      <c r="F816" s="68"/>
    </row>
    <row r="817" spans="3:6" s="32" customFormat="1" x14ac:dyDescent="0.25">
      <c r="C817" s="39"/>
      <c r="E817" s="59"/>
      <c r="F817" s="68"/>
    </row>
    <row r="818" spans="3:6" s="32" customFormat="1" x14ac:dyDescent="0.25">
      <c r="C818" s="39"/>
      <c r="E818" s="59"/>
      <c r="F818" s="68"/>
    </row>
    <row r="819" spans="3:6" s="32" customFormat="1" x14ac:dyDescent="0.25">
      <c r="C819" s="39"/>
      <c r="E819" s="59"/>
      <c r="F819" s="68"/>
    </row>
    <row r="820" spans="3:6" s="32" customFormat="1" x14ac:dyDescent="0.25">
      <c r="C820" s="39"/>
      <c r="E820" s="59"/>
      <c r="F820" s="68"/>
    </row>
    <row r="821" spans="3:6" s="32" customFormat="1" x14ac:dyDescent="0.25">
      <c r="C821" s="39"/>
      <c r="E821" s="59"/>
      <c r="F821" s="68"/>
    </row>
    <row r="822" spans="3:6" s="32" customFormat="1" x14ac:dyDescent="0.25">
      <c r="C822" s="39"/>
      <c r="E822" s="59"/>
      <c r="F822" s="68"/>
    </row>
    <row r="823" spans="3:6" s="32" customFormat="1" x14ac:dyDescent="0.25">
      <c r="C823" s="39"/>
      <c r="E823" s="59"/>
      <c r="F823" s="68"/>
    </row>
    <row r="824" spans="3:6" s="32" customFormat="1" x14ac:dyDescent="0.25">
      <c r="C824" s="39"/>
      <c r="E824" s="59"/>
      <c r="F824" s="68"/>
    </row>
    <row r="825" spans="3:6" s="32" customFormat="1" x14ac:dyDescent="0.25">
      <c r="C825" s="39"/>
      <c r="E825" s="59"/>
      <c r="F825" s="68"/>
    </row>
    <row r="826" spans="3:6" s="32" customFormat="1" x14ac:dyDescent="0.25">
      <c r="C826" s="39"/>
      <c r="E826" s="59"/>
      <c r="F826" s="68"/>
    </row>
    <row r="827" spans="3:6" s="32" customFormat="1" x14ac:dyDescent="0.25">
      <c r="C827" s="39"/>
      <c r="E827" s="59"/>
      <c r="F827" s="68"/>
    </row>
    <row r="828" spans="3:6" s="32" customFormat="1" x14ac:dyDescent="0.25">
      <c r="C828" s="39"/>
      <c r="E828" s="59"/>
      <c r="F828" s="68"/>
    </row>
    <row r="829" spans="3:6" s="32" customFormat="1" x14ac:dyDescent="0.25">
      <c r="C829" s="39"/>
      <c r="E829" s="59"/>
      <c r="F829" s="68"/>
    </row>
    <row r="830" spans="3:6" s="32" customFormat="1" x14ac:dyDescent="0.25">
      <c r="C830" s="39"/>
      <c r="E830" s="59"/>
      <c r="F830" s="68"/>
    </row>
    <row r="831" spans="3:6" s="32" customFormat="1" x14ac:dyDescent="0.25">
      <c r="C831" s="39"/>
      <c r="E831" s="59"/>
      <c r="F831" s="68"/>
    </row>
    <row r="832" spans="3:6" s="32" customFormat="1" x14ac:dyDescent="0.25">
      <c r="C832" s="39"/>
      <c r="E832" s="59"/>
      <c r="F832" s="68"/>
    </row>
    <row r="833" spans="3:6" s="32" customFormat="1" x14ac:dyDescent="0.25">
      <c r="C833" s="39"/>
      <c r="E833" s="59"/>
      <c r="F833" s="68"/>
    </row>
    <row r="834" spans="3:6" s="32" customFormat="1" x14ac:dyDescent="0.25">
      <c r="C834" s="39"/>
      <c r="E834" s="59"/>
      <c r="F834" s="68"/>
    </row>
    <row r="835" spans="3:6" s="32" customFormat="1" x14ac:dyDescent="0.25">
      <c r="C835" s="39"/>
      <c r="E835" s="59"/>
      <c r="F835" s="68"/>
    </row>
    <row r="836" spans="3:6" s="32" customFormat="1" x14ac:dyDescent="0.25">
      <c r="C836" s="39"/>
      <c r="E836" s="59"/>
      <c r="F836" s="68"/>
    </row>
    <row r="837" spans="3:6" s="32" customFormat="1" x14ac:dyDescent="0.25">
      <c r="C837" s="39"/>
      <c r="E837" s="59"/>
      <c r="F837" s="68"/>
    </row>
    <row r="838" spans="3:6" s="32" customFormat="1" x14ac:dyDescent="0.25">
      <c r="C838" s="39"/>
      <c r="E838" s="59"/>
      <c r="F838" s="68"/>
    </row>
    <row r="839" spans="3:6" s="32" customFormat="1" x14ac:dyDescent="0.25">
      <c r="C839" s="39"/>
      <c r="E839" s="59"/>
      <c r="F839" s="68"/>
    </row>
    <row r="840" spans="3:6" s="32" customFormat="1" x14ac:dyDescent="0.25">
      <c r="C840" s="39"/>
      <c r="E840" s="59"/>
      <c r="F840" s="68"/>
    </row>
    <row r="841" spans="3:6" s="32" customFormat="1" x14ac:dyDescent="0.25">
      <c r="C841" s="39"/>
      <c r="E841" s="59"/>
      <c r="F841" s="68"/>
    </row>
    <row r="842" spans="3:6" s="32" customFormat="1" x14ac:dyDescent="0.25">
      <c r="C842" s="39"/>
      <c r="E842" s="59"/>
      <c r="F842" s="68"/>
    </row>
    <row r="843" spans="3:6" s="32" customFormat="1" x14ac:dyDescent="0.25">
      <c r="C843" s="39"/>
      <c r="E843" s="59"/>
      <c r="F843" s="68"/>
    </row>
    <row r="844" spans="3:6" s="32" customFormat="1" x14ac:dyDescent="0.25">
      <c r="C844" s="39"/>
      <c r="E844" s="59"/>
      <c r="F844" s="68"/>
    </row>
    <row r="845" spans="3:6" s="32" customFormat="1" x14ac:dyDescent="0.25">
      <c r="C845" s="39"/>
      <c r="E845" s="59"/>
      <c r="F845" s="68"/>
    </row>
    <row r="846" spans="3:6" s="32" customFormat="1" x14ac:dyDescent="0.25">
      <c r="C846" s="39"/>
      <c r="E846" s="59"/>
      <c r="F846" s="68"/>
    </row>
    <row r="847" spans="3:6" s="32" customFormat="1" x14ac:dyDescent="0.25">
      <c r="C847" s="39"/>
      <c r="E847" s="59"/>
      <c r="F847" s="68"/>
    </row>
    <row r="848" spans="3:6" s="32" customFormat="1" x14ac:dyDescent="0.25">
      <c r="C848" s="39"/>
      <c r="E848" s="59"/>
      <c r="F848" s="68"/>
    </row>
    <row r="849" spans="3:6" s="32" customFormat="1" x14ac:dyDescent="0.25">
      <c r="C849" s="39"/>
      <c r="E849" s="59"/>
      <c r="F849" s="68"/>
    </row>
    <row r="850" spans="3:6" s="32" customFormat="1" x14ac:dyDescent="0.25">
      <c r="C850" s="39"/>
      <c r="E850" s="59"/>
      <c r="F850" s="68"/>
    </row>
    <row r="851" spans="3:6" s="32" customFormat="1" x14ac:dyDescent="0.25">
      <c r="C851" s="39"/>
      <c r="E851" s="59"/>
      <c r="F851" s="68"/>
    </row>
    <row r="852" spans="3:6" s="32" customFormat="1" x14ac:dyDescent="0.25">
      <c r="C852" s="39"/>
      <c r="E852" s="59"/>
      <c r="F852" s="68"/>
    </row>
    <row r="853" spans="3:6" s="32" customFormat="1" x14ac:dyDescent="0.25">
      <c r="C853" s="39"/>
      <c r="E853" s="59"/>
      <c r="F853" s="68"/>
    </row>
    <row r="854" spans="3:6" s="32" customFormat="1" x14ac:dyDescent="0.25">
      <c r="C854" s="39"/>
      <c r="E854" s="59"/>
      <c r="F854" s="68"/>
    </row>
    <row r="855" spans="3:6" s="32" customFormat="1" x14ac:dyDescent="0.25">
      <c r="C855" s="39"/>
      <c r="E855" s="59"/>
      <c r="F855" s="68"/>
    </row>
    <row r="856" spans="3:6" s="32" customFormat="1" x14ac:dyDescent="0.25">
      <c r="C856" s="39"/>
      <c r="E856" s="59"/>
      <c r="F856" s="68"/>
    </row>
    <row r="857" spans="3:6" s="32" customFormat="1" x14ac:dyDescent="0.25">
      <c r="C857" s="39"/>
      <c r="E857" s="59"/>
      <c r="F857" s="68"/>
    </row>
    <row r="858" spans="3:6" s="32" customFormat="1" x14ac:dyDescent="0.25">
      <c r="C858" s="39"/>
      <c r="E858" s="59"/>
      <c r="F858" s="68"/>
    </row>
    <row r="859" spans="3:6" s="32" customFormat="1" x14ac:dyDescent="0.25">
      <c r="C859" s="39"/>
      <c r="E859" s="59"/>
      <c r="F859" s="68"/>
    </row>
    <row r="860" spans="3:6" s="32" customFormat="1" x14ac:dyDescent="0.25">
      <c r="C860" s="39"/>
      <c r="E860" s="59"/>
      <c r="F860" s="68"/>
    </row>
    <row r="861" spans="3:6" s="32" customFormat="1" x14ac:dyDescent="0.25">
      <c r="C861" s="39"/>
      <c r="E861" s="59"/>
      <c r="F861" s="68"/>
    </row>
    <row r="862" spans="3:6" s="32" customFormat="1" x14ac:dyDescent="0.25">
      <c r="C862" s="39"/>
      <c r="E862" s="59"/>
      <c r="F862" s="68"/>
    </row>
    <row r="863" spans="3:6" s="32" customFormat="1" x14ac:dyDescent="0.25">
      <c r="C863" s="39"/>
      <c r="E863" s="59"/>
      <c r="F863" s="68"/>
    </row>
    <row r="864" spans="3:6" s="32" customFormat="1" x14ac:dyDescent="0.25">
      <c r="C864" s="39"/>
      <c r="E864" s="59"/>
      <c r="F864" s="68"/>
    </row>
    <row r="865" spans="3:6" s="32" customFormat="1" x14ac:dyDescent="0.25">
      <c r="C865" s="39"/>
      <c r="E865" s="59"/>
      <c r="F865" s="68"/>
    </row>
    <row r="866" spans="3:6" s="32" customFormat="1" x14ac:dyDescent="0.25">
      <c r="C866" s="39"/>
      <c r="E866" s="59"/>
      <c r="F866" s="68"/>
    </row>
    <row r="867" spans="3:6" s="32" customFormat="1" x14ac:dyDescent="0.25">
      <c r="C867" s="39"/>
      <c r="E867" s="59"/>
      <c r="F867" s="68"/>
    </row>
    <row r="868" spans="3:6" s="32" customFormat="1" x14ac:dyDescent="0.25">
      <c r="C868" s="39"/>
      <c r="E868" s="59"/>
      <c r="F868" s="68"/>
    </row>
    <row r="869" spans="3:6" s="32" customFormat="1" x14ac:dyDescent="0.25">
      <c r="C869" s="39"/>
      <c r="E869" s="59"/>
      <c r="F869" s="68"/>
    </row>
    <row r="870" spans="3:6" s="32" customFormat="1" x14ac:dyDescent="0.25">
      <c r="C870" s="39"/>
      <c r="E870" s="59"/>
      <c r="F870" s="68"/>
    </row>
    <row r="871" spans="3:6" s="32" customFormat="1" x14ac:dyDescent="0.25">
      <c r="C871" s="39"/>
      <c r="E871" s="59"/>
      <c r="F871" s="68"/>
    </row>
    <row r="872" spans="3:6" s="32" customFormat="1" x14ac:dyDescent="0.25">
      <c r="C872" s="39"/>
      <c r="E872" s="59"/>
      <c r="F872" s="68"/>
    </row>
    <row r="873" spans="3:6" s="32" customFormat="1" x14ac:dyDescent="0.25">
      <c r="C873" s="39"/>
      <c r="E873" s="59"/>
      <c r="F873" s="68"/>
    </row>
    <row r="874" spans="3:6" s="32" customFormat="1" x14ac:dyDescent="0.25">
      <c r="C874" s="39"/>
      <c r="E874" s="59"/>
      <c r="F874" s="68"/>
    </row>
    <row r="875" spans="3:6" s="32" customFormat="1" x14ac:dyDescent="0.25">
      <c r="C875" s="39"/>
      <c r="E875" s="59"/>
      <c r="F875" s="68"/>
    </row>
    <row r="876" spans="3:6" s="32" customFormat="1" x14ac:dyDescent="0.25">
      <c r="C876" s="39"/>
      <c r="E876" s="59"/>
      <c r="F876" s="68"/>
    </row>
    <row r="877" spans="3:6" s="32" customFormat="1" x14ac:dyDescent="0.25">
      <c r="C877" s="39"/>
      <c r="E877" s="59"/>
      <c r="F877" s="68"/>
    </row>
    <row r="878" spans="3:6" s="32" customFormat="1" x14ac:dyDescent="0.25">
      <c r="C878" s="39"/>
      <c r="E878" s="59"/>
      <c r="F878" s="68"/>
    </row>
    <row r="879" spans="3:6" s="32" customFormat="1" x14ac:dyDescent="0.25">
      <c r="C879" s="39"/>
      <c r="E879" s="59"/>
      <c r="F879" s="68"/>
    </row>
    <row r="880" spans="3:6" s="32" customFormat="1" x14ac:dyDescent="0.25">
      <c r="C880" s="39"/>
      <c r="E880" s="59"/>
      <c r="F880" s="68"/>
    </row>
    <row r="881" spans="3:6" s="32" customFormat="1" x14ac:dyDescent="0.25">
      <c r="C881" s="39"/>
      <c r="E881" s="59"/>
      <c r="F881" s="68"/>
    </row>
    <row r="882" spans="3:6" s="32" customFormat="1" x14ac:dyDescent="0.25">
      <c r="C882" s="39"/>
      <c r="E882" s="59"/>
      <c r="F882" s="68"/>
    </row>
    <row r="883" spans="3:6" s="32" customFormat="1" x14ac:dyDescent="0.25">
      <c r="C883" s="39"/>
      <c r="E883" s="59"/>
      <c r="F883" s="68"/>
    </row>
    <row r="884" spans="3:6" s="32" customFormat="1" x14ac:dyDescent="0.25">
      <c r="C884" s="39"/>
      <c r="E884" s="59"/>
      <c r="F884" s="68"/>
    </row>
    <row r="885" spans="3:6" s="32" customFormat="1" x14ac:dyDescent="0.25">
      <c r="C885" s="39"/>
      <c r="E885" s="59"/>
      <c r="F885" s="68"/>
    </row>
    <row r="886" spans="3:6" s="32" customFormat="1" x14ac:dyDescent="0.25">
      <c r="C886" s="39"/>
      <c r="E886" s="59"/>
      <c r="F886" s="68"/>
    </row>
    <row r="887" spans="3:6" s="32" customFormat="1" x14ac:dyDescent="0.25">
      <c r="C887" s="39"/>
      <c r="E887" s="59"/>
      <c r="F887" s="68"/>
    </row>
    <row r="888" spans="3:6" s="32" customFormat="1" x14ac:dyDescent="0.25">
      <c r="C888" s="39"/>
      <c r="E888" s="59"/>
      <c r="F888" s="68"/>
    </row>
    <row r="889" spans="3:6" s="32" customFormat="1" x14ac:dyDescent="0.25">
      <c r="C889" s="39"/>
      <c r="E889" s="59"/>
      <c r="F889" s="68"/>
    </row>
    <row r="890" spans="3:6" s="32" customFormat="1" x14ac:dyDescent="0.25">
      <c r="C890" s="39"/>
      <c r="E890" s="59"/>
      <c r="F890" s="68"/>
    </row>
    <row r="891" spans="3:6" s="32" customFormat="1" x14ac:dyDescent="0.25">
      <c r="C891" s="39"/>
      <c r="E891" s="59"/>
      <c r="F891" s="68"/>
    </row>
    <row r="892" spans="3:6" s="32" customFormat="1" x14ac:dyDescent="0.25">
      <c r="C892" s="39"/>
      <c r="E892" s="59"/>
      <c r="F892" s="68"/>
    </row>
    <row r="893" spans="3:6" s="32" customFormat="1" x14ac:dyDescent="0.25">
      <c r="C893" s="39"/>
      <c r="E893" s="59"/>
      <c r="F893" s="68"/>
    </row>
    <row r="894" spans="3:6" s="32" customFormat="1" x14ac:dyDescent="0.25">
      <c r="C894" s="39"/>
      <c r="E894" s="59"/>
      <c r="F894" s="68"/>
    </row>
    <row r="895" spans="3:6" s="32" customFormat="1" x14ac:dyDescent="0.25">
      <c r="C895" s="39"/>
      <c r="E895" s="59"/>
      <c r="F895" s="68"/>
    </row>
    <row r="896" spans="3:6" s="32" customFormat="1" x14ac:dyDescent="0.25">
      <c r="C896" s="39"/>
      <c r="E896" s="59"/>
      <c r="F896" s="68"/>
    </row>
    <row r="897" spans="3:6" s="32" customFormat="1" x14ac:dyDescent="0.25">
      <c r="C897" s="39"/>
      <c r="E897" s="59"/>
      <c r="F897" s="68"/>
    </row>
    <row r="898" spans="3:6" s="32" customFormat="1" x14ac:dyDescent="0.25">
      <c r="C898" s="39"/>
      <c r="E898" s="59"/>
      <c r="F898" s="68"/>
    </row>
    <row r="899" spans="3:6" s="32" customFormat="1" x14ac:dyDescent="0.25">
      <c r="C899" s="39"/>
      <c r="E899" s="59"/>
      <c r="F899" s="68"/>
    </row>
    <row r="900" spans="3:6" s="32" customFormat="1" x14ac:dyDescent="0.25">
      <c r="C900" s="39"/>
      <c r="E900" s="59"/>
      <c r="F900" s="68"/>
    </row>
    <row r="901" spans="3:6" s="32" customFormat="1" x14ac:dyDescent="0.25">
      <c r="C901" s="39"/>
      <c r="E901" s="59"/>
      <c r="F901" s="68"/>
    </row>
    <row r="902" spans="3:6" s="32" customFormat="1" x14ac:dyDescent="0.25">
      <c r="C902" s="39"/>
      <c r="E902" s="59"/>
      <c r="F902" s="68"/>
    </row>
    <row r="903" spans="3:6" s="32" customFormat="1" x14ac:dyDescent="0.25">
      <c r="C903" s="39"/>
      <c r="E903" s="59"/>
      <c r="F903" s="68"/>
    </row>
    <row r="904" spans="3:6" s="32" customFormat="1" x14ac:dyDescent="0.25">
      <c r="C904" s="39"/>
      <c r="E904" s="59"/>
      <c r="F904" s="68"/>
    </row>
    <row r="905" spans="3:6" s="32" customFormat="1" x14ac:dyDescent="0.25">
      <c r="C905" s="39"/>
      <c r="E905" s="59"/>
      <c r="F905" s="68"/>
    </row>
    <row r="906" spans="3:6" s="32" customFormat="1" x14ac:dyDescent="0.25">
      <c r="C906" s="39"/>
      <c r="E906" s="59"/>
      <c r="F906" s="68"/>
    </row>
    <row r="907" spans="3:6" s="32" customFormat="1" x14ac:dyDescent="0.25">
      <c r="C907" s="39"/>
      <c r="E907" s="59"/>
      <c r="F907" s="68"/>
    </row>
    <row r="908" spans="3:6" s="32" customFormat="1" x14ac:dyDescent="0.25">
      <c r="C908" s="39"/>
      <c r="E908" s="59"/>
      <c r="F908" s="68"/>
    </row>
    <row r="909" spans="3:6" s="32" customFormat="1" x14ac:dyDescent="0.25">
      <c r="C909" s="39"/>
      <c r="E909" s="59"/>
      <c r="F909" s="68"/>
    </row>
    <row r="910" spans="3:6" s="32" customFormat="1" x14ac:dyDescent="0.25">
      <c r="C910" s="39"/>
      <c r="E910" s="59"/>
      <c r="F910" s="68"/>
    </row>
    <row r="911" spans="3:6" s="32" customFormat="1" x14ac:dyDescent="0.25">
      <c r="C911" s="39"/>
      <c r="E911" s="59"/>
      <c r="F911" s="68"/>
    </row>
    <row r="912" spans="3:6" s="32" customFormat="1" x14ac:dyDescent="0.25">
      <c r="C912" s="39"/>
      <c r="E912" s="59"/>
      <c r="F912" s="68"/>
    </row>
    <row r="913" spans="3:6" s="32" customFormat="1" x14ac:dyDescent="0.25">
      <c r="C913" s="39"/>
      <c r="E913" s="59"/>
      <c r="F913" s="68"/>
    </row>
    <row r="914" spans="3:6" s="32" customFormat="1" x14ac:dyDescent="0.25">
      <c r="C914" s="39"/>
      <c r="E914" s="59"/>
      <c r="F914" s="68"/>
    </row>
    <row r="915" spans="3:6" s="32" customFormat="1" x14ac:dyDescent="0.25">
      <c r="C915" s="39"/>
      <c r="E915" s="59"/>
      <c r="F915" s="68"/>
    </row>
    <row r="916" spans="3:6" s="32" customFormat="1" x14ac:dyDescent="0.25">
      <c r="C916" s="39"/>
      <c r="E916" s="59"/>
      <c r="F916" s="68"/>
    </row>
    <row r="917" spans="3:6" s="32" customFormat="1" x14ac:dyDescent="0.25">
      <c r="C917" s="39"/>
      <c r="E917" s="59"/>
      <c r="F917" s="68"/>
    </row>
    <row r="918" spans="3:6" s="32" customFormat="1" x14ac:dyDescent="0.25">
      <c r="C918" s="39"/>
      <c r="E918" s="59"/>
      <c r="F918" s="68"/>
    </row>
    <row r="919" spans="3:6" s="32" customFormat="1" x14ac:dyDescent="0.25">
      <c r="C919" s="39"/>
      <c r="E919" s="59"/>
      <c r="F919" s="68"/>
    </row>
    <row r="920" spans="3:6" s="32" customFormat="1" x14ac:dyDescent="0.25">
      <c r="C920" s="39"/>
      <c r="E920" s="59"/>
      <c r="F920" s="68"/>
    </row>
    <row r="921" spans="3:6" s="32" customFormat="1" x14ac:dyDescent="0.25">
      <c r="C921" s="39"/>
      <c r="E921" s="59"/>
      <c r="F921" s="68"/>
    </row>
    <row r="922" spans="3:6" s="32" customFormat="1" x14ac:dyDescent="0.25">
      <c r="C922" s="39"/>
      <c r="E922" s="59"/>
      <c r="F922" s="68"/>
    </row>
    <row r="923" spans="3:6" s="32" customFormat="1" x14ac:dyDescent="0.25">
      <c r="C923" s="39"/>
      <c r="E923" s="59"/>
      <c r="F923" s="68"/>
    </row>
    <row r="924" spans="3:6" s="32" customFormat="1" x14ac:dyDescent="0.25">
      <c r="C924" s="39"/>
      <c r="E924" s="59"/>
      <c r="F924" s="68"/>
    </row>
    <row r="925" spans="3:6" s="32" customFormat="1" x14ac:dyDescent="0.25">
      <c r="C925" s="39"/>
      <c r="E925" s="59"/>
      <c r="F925" s="68"/>
    </row>
    <row r="926" spans="3:6" s="32" customFormat="1" x14ac:dyDescent="0.25">
      <c r="C926" s="39"/>
      <c r="E926" s="59"/>
      <c r="F926" s="68"/>
    </row>
    <row r="927" spans="3:6" s="32" customFormat="1" x14ac:dyDescent="0.25">
      <c r="C927" s="39"/>
      <c r="E927" s="59"/>
      <c r="F927" s="68"/>
    </row>
    <row r="928" spans="3:6" s="32" customFormat="1" x14ac:dyDescent="0.25">
      <c r="C928" s="39"/>
      <c r="E928" s="59"/>
      <c r="F928" s="68"/>
    </row>
    <row r="929" spans="3:6" s="32" customFormat="1" x14ac:dyDescent="0.25">
      <c r="C929" s="39"/>
      <c r="E929" s="59"/>
      <c r="F929" s="68"/>
    </row>
    <row r="930" spans="3:6" s="32" customFormat="1" x14ac:dyDescent="0.25">
      <c r="C930" s="39"/>
      <c r="E930" s="59"/>
      <c r="F930" s="68"/>
    </row>
    <row r="931" spans="3:6" s="32" customFormat="1" x14ac:dyDescent="0.25">
      <c r="C931" s="39"/>
      <c r="E931" s="59"/>
      <c r="F931" s="68"/>
    </row>
    <row r="932" spans="3:6" s="32" customFormat="1" x14ac:dyDescent="0.25">
      <c r="C932" s="39"/>
      <c r="E932" s="59"/>
      <c r="F932" s="68"/>
    </row>
    <row r="933" spans="3:6" s="32" customFormat="1" x14ac:dyDescent="0.25">
      <c r="C933" s="39"/>
      <c r="E933" s="59"/>
      <c r="F933" s="68"/>
    </row>
    <row r="934" spans="3:6" s="32" customFormat="1" x14ac:dyDescent="0.25">
      <c r="C934" s="39"/>
      <c r="E934" s="59"/>
      <c r="F934" s="68"/>
    </row>
    <row r="935" spans="3:6" s="32" customFormat="1" x14ac:dyDescent="0.25">
      <c r="C935" s="39"/>
      <c r="E935" s="59"/>
      <c r="F935" s="68"/>
    </row>
    <row r="936" spans="3:6" s="32" customFormat="1" x14ac:dyDescent="0.25">
      <c r="C936" s="39"/>
      <c r="E936" s="59"/>
      <c r="F936" s="68"/>
    </row>
    <row r="937" spans="3:6" s="32" customFormat="1" x14ac:dyDescent="0.25">
      <c r="C937" s="39"/>
      <c r="E937" s="59"/>
      <c r="F937" s="68"/>
    </row>
    <row r="938" spans="3:6" s="32" customFormat="1" x14ac:dyDescent="0.25">
      <c r="C938" s="39"/>
      <c r="E938" s="59"/>
      <c r="F938" s="68"/>
    </row>
    <row r="939" spans="3:6" s="32" customFormat="1" x14ac:dyDescent="0.25">
      <c r="C939" s="39"/>
      <c r="E939" s="59"/>
      <c r="F939" s="68"/>
    </row>
    <row r="940" spans="3:6" s="32" customFormat="1" x14ac:dyDescent="0.25">
      <c r="C940" s="39"/>
      <c r="E940" s="59"/>
      <c r="F940" s="68"/>
    </row>
    <row r="941" spans="3:6" s="32" customFormat="1" x14ac:dyDescent="0.25">
      <c r="C941" s="39"/>
      <c r="E941" s="59"/>
      <c r="F941" s="68"/>
    </row>
    <row r="942" spans="3:6" s="32" customFormat="1" x14ac:dyDescent="0.25">
      <c r="C942" s="39"/>
      <c r="E942" s="59"/>
      <c r="F942" s="68"/>
    </row>
    <row r="943" spans="3:6" s="32" customFormat="1" x14ac:dyDescent="0.25">
      <c r="C943" s="39"/>
      <c r="E943" s="59"/>
      <c r="F943" s="68"/>
    </row>
    <row r="944" spans="3:6" s="32" customFormat="1" x14ac:dyDescent="0.25">
      <c r="C944" s="39"/>
      <c r="E944" s="59"/>
      <c r="F944" s="68"/>
    </row>
    <row r="945" spans="3:6" s="32" customFormat="1" x14ac:dyDescent="0.25">
      <c r="C945" s="39"/>
      <c r="E945" s="59"/>
      <c r="F945" s="68"/>
    </row>
    <row r="946" spans="3:6" s="32" customFormat="1" x14ac:dyDescent="0.25">
      <c r="C946" s="39"/>
      <c r="E946" s="59"/>
      <c r="F946" s="68"/>
    </row>
    <row r="947" spans="3:6" s="32" customFormat="1" x14ac:dyDescent="0.25">
      <c r="C947" s="39"/>
      <c r="E947" s="59"/>
      <c r="F947" s="68"/>
    </row>
    <row r="948" spans="3:6" s="32" customFormat="1" x14ac:dyDescent="0.25">
      <c r="C948" s="39"/>
      <c r="E948" s="59"/>
      <c r="F948" s="68"/>
    </row>
    <row r="949" spans="3:6" s="32" customFormat="1" x14ac:dyDescent="0.25">
      <c r="C949" s="39"/>
      <c r="E949" s="59"/>
      <c r="F949" s="68"/>
    </row>
    <row r="950" spans="3:6" s="32" customFormat="1" x14ac:dyDescent="0.25">
      <c r="C950" s="39"/>
      <c r="E950" s="59"/>
      <c r="F950" s="68"/>
    </row>
    <row r="951" spans="3:6" s="32" customFormat="1" x14ac:dyDescent="0.25">
      <c r="C951" s="39"/>
      <c r="E951" s="59"/>
      <c r="F951" s="68"/>
    </row>
    <row r="952" spans="3:6" s="32" customFormat="1" x14ac:dyDescent="0.25">
      <c r="C952" s="39"/>
      <c r="E952" s="59"/>
      <c r="F952" s="68"/>
    </row>
    <row r="953" spans="3:6" s="32" customFormat="1" x14ac:dyDescent="0.25">
      <c r="C953" s="39"/>
      <c r="E953" s="59"/>
      <c r="F953" s="68"/>
    </row>
    <row r="954" spans="3:6" s="32" customFormat="1" x14ac:dyDescent="0.25">
      <c r="C954" s="39"/>
      <c r="E954" s="59"/>
      <c r="F954" s="68"/>
    </row>
    <row r="955" spans="3:6" s="32" customFormat="1" x14ac:dyDescent="0.25">
      <c r="C955" s="39"/>
      <c r="E955" s="59"/>
      <c r="F955" s="68"/>
    </row>
    <row r="956" spans="3:6" s="32" customFormat="1" x14ac:dyDescent="0.25">
      <c r="C956" s="39"/>
      <c r="E956" s="59"/>
      <c r="F956" s="68"/>
    </row>
    <row r="957" spans="3:6" s="32" customFormat="1" x14ac:dyDescent="0.25">
      <c r="C957" s="39"/>
      <c r="E957" s="59"/>
      <c r="F957" s="68"/>
    </row>
    <row r="958" spans="3:6" s="32" customFormat="1" x14ac:dyDescent="0.25">
      <c r="C958" s="39"/>
      <c r="E958" s="59"/>
      <c r="F958" s="68"/>
    </row>
    <row r="959" spans="3:6" s="32" customFormat="1" x14ac:dyDescent="0.25">
      <c r="C959" s="39"/>
      <c r="E959" s="59"/>
      <c r="F959" s="68"/>
    </row>
    <row r="960" spans="3:6" s="32" customFormat="1" x14ac:dyDescent="0.25">
      <c r="C960" s="39"/>
      <c r="E960" s="59"/>
      <c r="F960" s="68"/>
    </row>
    <row r="961" spans="3:6" s="32" customFormat="1" x14ac:dyDescent="0.25">
      <c r="C961" s="39"/>
      <c r="E961" s="59"/>
      <c r="F961" s="68"/>
    </row>
    <row r="962" spans="3:6" s="32" customFormat="1" x14ac:dyDescent="0.25">
      <c r="C962" s="39"/>
      <c r="E962" s="59"/>
      <c r="F962" s="68"/>
    </row>
    <row r="963" spans="3:6" s="32" customFormat="1" x14ac:dyDescent="0.25">
      <c r="C963" s="39"/>
      <c r="E963" s="59"/>
      <c r="F963" s="68"/>
    </row>
    <row r="964" spans="3:6" s="32" customFormat="1" x14ac:dyDescent="0.25">
      <c r="C964" s="39"/>
      <c r="E964" s="59"/>
      <c r="F964" s="68"/>
    </row>
    <row r="965" spans="3:6" s="32" customFormat="1" x14ac:dyDescent="0.25">
      <c r="C965" s="39"/>
      <c r="E965" s="59"/>
      <c r="F965" s="68"/>
    </row>
    <row r="966" spans="3:6" s="32" customFormat="1" x14ac:dyDescent="0.25">
      <c r="C966" s="39"/>
      <c r="E966" s="59"/>
      <c r="F966" s="68"/>
    </row>
    <row r="967" spans="3:6" s="32" customFormat="1" x14ac:dyDescent="0.25">
      <c r="C967" s="39"/>
      <c r="E967" s="59"/>
      <c r="F967" s="68"/>
    </row>
    <row r="968" spans="3:6" s="32" customFormat="1" x14ac:dyDescent="0.25">
      <c r="C968" s="39"/>
      <c r="E968" s="59"/>
      <c r="F968" s="68"/>
    </row>
    <row r="969" spans="3:6" s="32" customFormat="1" x14ac:dyDescent="0.25">
      <c r="C969" s="39"/>
      <c r="E969" s="59"/>
      <c r="F969" s="68"/>
    </row>
    <row r="970" spans="3:6" s="32" customFormat="1" x14ac:dyDescent="0.25">
      <c r="C970" s="39"/>
      <c r="E970" s="59"/>
      <c r="F970" s="68"/>
    </row>
    <row r="971" spans="3:6" s="32" customFormat="1" x14ac:dyDescent="0.25">
      <c r="C971" s="39"/>
      <c r="E971" s="59"/>
      <c r="F971" s="68"/>
    </row>
    <row r="972" spans="3:6" s="32" customFormat="1" x14ac:dyDescent="0.25">
      <c r="C972" s="39"/>
      <c r="E972" s="59"/>
      <c r="F972" s="68"/>
    </row>
    <row r="973" spans="3:6" s="32" customFormat="1" x14ac:dyDescent="0.25">
      <c r="C973" s="39"/>
      <c r="E973" s="59"/>
      <c r="F973" s="68"/>
    </row>
    <row r="974" spans="3:6" s="32" customFormat="1" x14ac:dyDescent="0.25">
      <c r="C974" s="39"/>
      <c r="E974" s="59"/>
      <c r="F974" s="68"/>
    </row>
    <row r="975" spans="3:6" s="32" customFormat="1" x14ac:dyDescent="0.25">
      <c r="C975" s="39"/>
      <c r="E975" s="59"/>
      <c r="F975" s="68"/>
    </row>
    <row r="976" spans="3:6" s="32" customFormat="1" x14ac:dyDescent="0.25">
      <c r="C976" s="39"/>
      <c r="E976" s="59"/>
      <c r="F976" s="68"/>
    </row>
    <row r="977" spans="3:6" s="32" customFormat="1" x14ac:dyDescent="0.25">
      <c r="C977" s="39"/>
      <c r="E977" s="59"/>
      <c r="F977" s="68"/>
    </row>
    <row r="978" spans="3:6" s="32" customFormat="1" x14ac:dyDescent="0.25">
      <c r="C978" s="39"/>
      <c r="E978" s="59"/>
      <c r="F978" s="68"/>
    </row>
    <row r="979" spans="3:6" s="32" customFormat="1" x14ac:dyDescent="0.25">
      <c r="C979" s="39"/>
      <c r="E979" s="59"/>
      <c r="F979" s="68"/>
    </row>
    <row r="980" spans="3:6" s="32" customFormat="1" x14ac:dyDescent="0.25">
      <c r="C980" s="39"/>
      <c r="E980" s="59"/>
      <c r="F980" s="68"/>
    </row>
    <row r="981" spans="3:6" s="32" customFormat="1" x14ac:dyDescent="0.25">
      <c r="C981" s="39"/>
      <c r="E981" s="59"/>
      <c r="F981" s="68"/>
    </row>
    <row r="982" spans="3:6" s="32" customFormat="1" x14ac:dyDescent="0.25">
      <c r="C982" s="39"/>
      <c r="E982" s="59"/>
      <c r="F982" s="68"/>
    </row>
    <row r="983" spans="3:6" s="32" customFormat="1" x14ac:dyDescent="0.25">
      <c r="C983" s="39"/>
      <c r="E983" s="59"/>
      <c r="F983" s="68"/>
    </row>
    <row r="984" spans="3:6" s="32" customFormat="1" x14ac:dyDescent="0.25">
      <c r="C984" s="39"/>
      <c r="E984" s="59"/>
      <c r="F984" s="68"/>
    </row>
    <row r="985" spans="3:6" s="32" customFormat="1" x14ac:dyDescent="0.25">
      <c r="C985" s="39"/>
      <c r="E985" s="59"/>
      <c r="F985" s="68"/>
    </row>
    <row r="986" spans="3:6" s="32" customFormat="1" x14ac:dyDescent="0.25">
      <c r="C986" s="39"/>
      <c r="E986" s="59"/>
      <c r="F986" s="68"/>
    </row>
    <row r="987" spans="3:6" s="32" customFormat="1" x14ac:dyDescent="0.25">
      <c r="C987" s="39"/>
      <c r="E987" s="59"/>
      <c r="F987" s="68"/>
    </row>
    <row r="988" spans="3:6" s="32" customFormat="1" x14ac:dyDescent="0.25">
      <c r="C988" s="39"/>
      <c r="E988" s="59"/>
      <c r="F988" s="68"/>
    </row>
    <row r="989" spans="3:6" s="32" customFormat="1" x14ac:dyDescent="0.25">
      <c r="C989" s="39"/>
      <c r="E989" s="59"/>
      <c r="F989" s="68"/>
    </row>
    <row r="990" spans="3:6" s="32" customFormat="1" x14ac:dyDescent="0.25">
      <c r="C990" s="39"/>
      <c r="E990" s="59"/>
      <c r="F990" s="68"/>
    </row>
    <row r="991" spans="3:6" s="32" customFormat="1" x14ac:dyDescent="0.25">
      <c r="C991" s="39"/>
      <c r="E991" s="59"/>
      <c r="F991" s="68"/>
    </row>
    <row r="992" spans="3:6" s="32" customFormat="1" x14ac:dyDescent="0.25">
      <c r="C992" s="39"/>
      <c r="E992" s="59"/>
      <c r="F992" s="68"/>
    </row>
    <row r="993" spans="3:6" s="32" customFormat="1" x14ac:dyDescent="0.25">
      <c r="C993" s="39"/>
      <c r="E993" s="59"/>
      <c r="F993" s="68"/>
    </row>
    <row r="994" spans="3:6" s="32" customFormat="1" x14ac:dyDescent="0.25">
      <c r="C994" s="39"/>
      <c r="E994" s="59"/>
      <c r="F994" s="68"/>
    </row>
    <row r="995" spans="3:6" s="32" customFormat="1" x14ac:dyDescent="0.25">
      <c r="C995" s="39"/>
      <c r="E995" s="59"/>
      <c r="F995" s="68"/>
    </row>
    <row r="996" spans="3:6" s="32" customFormat="1" x14ac:dyDescent="0.25">
      <c r="C996" s="39"/>
      <c r="E996" s="59"/>
      <c r="F996" s="68"/>
    </row>
    <row r="997" spans="3:6" s="32" customFormat="1" x14ac:dyDescent="0.25">
      <c r="C997" s="39"/>
      <c r="E997" s="59"/>
      <c r="F997" s="68"/>
    </row>
    <row r="998" spans="3:6" s="32" customFormat="1" x14ac:dyDescent="0.25">
      <c r="C998" s="39"/>
      <c r="E998" s="59"/>
      <c r="F998" s="68"/>
    </row>
    <row r="999" spans="3:6" s="32" customFormat="1" x14ac:dyDescent="0.25">
      <c r="C999" s="39"/>
      <c r="E999" s="59"/>
      <c r="F999" s="68"/>
    </row>
    <row r="1000" spans="3:6" s="32" customFormat="1" x14ac:dyDescent="0.25">
      <c r="C1000" s="39"/>
      <c r="E1000" s="59"/>
      <c r="F1000" s="68"/>
    </row>
    <row r="1001" spans="3:6" s="32" customFormat="1" x14ac:dyDescent="0.25">
      <c r="C1001" s="39"/>
      <c r="E1001" s="59"/>
      <c r="F1001" s="68"/>
    </row>
    <row r="1002" spans="3:6" s="32" customFormat="1" x14ac:dyDescent="0.25">
      <c r="C1002" s="39"/>
      <c r="E1002" s="59"/>
      <c r="F1002" s="68"/>
    </row>
    <row r="1003" spans="3:6" s="32" customFormat="1" x14ac:dyDescent="0.25">
      <c r="C1003" s="39"/>
      <c r="E1003" s="59"/>
      <c r="F1003" s="68"/>
    </row>
    <row r="1004" spans="3:6" s="32" customFormat="1" x14ac:dyDescent="0.25">
      <c r="C1004" s="39"/>
      <c r="E1004" s="59"/>
      <c r="F1004" s="68"/>
    </row>
    <row r="1005" spans="3:6" s="32" customFormat="1" x14ac:dyDescent="0.25">
      <c r="C1005" s="39"/>
      <c r="E1005" s="59"/>
      <c r="F1005" s="68"/>
    </row>
    <row r="1006" spans="3:6" s="32" customFormat="1" x14ac:dyDescent="0.25">
      <c r="C1006" s="39"/>
      <c r="E1006" s="59"/>
      <c r="F1006" s="68"/>
    </row>
    <row r="1007" spans="3:6" s="32" customFormat="1" x14ac:dyDescent="0.25">
      <c r="C1007" s="39"/>
      <c r="E1007" s="59"/>
      <c r="F1007" s="68"/>
    </row>
    <row r="1008" spans="3:6" s="32" customFormat="1" x14ac:dyDescent="0.25">
      <c r="C1008" s="39"/>
      <c r="E1008" s="59"/>
      <c r="F1008" s="68"/>
    </row>
    <row r="1009" spans="3:6" s="32" customFormat="1" x14ac:dyDescent="0.25">
      <c r="C1009" s="39"/>
      <c r="E1009" s="59"/>
      <c r="F1009" s="68"/>
    </row>
    <row r="1010" spans="3:6" s="32" customFormat="1" x14ac:dyDescent="0.25">
      <c r="C1010" s="39"/>
      <c r="E1010" s="59"/>
      <c r="F1010" s="68"/>
    </row>
    <row r="1011" spans="3:6" s="32" customFormat="1" x14ac:dyDescent="0.25">
      <c r="C1011" s="39"/>
      <c r="E1011" s="59"/>
      <c r="F1011" s="68"/>
    </row>
    <row r="1012" spans="3:6" s="32" customFormat="1" x14ac:dyDescent="0.25">
      <c r="C1012" s="39"/>
      <c r="E1012" s="59"/>
      <c r="F1012" s="68"/>
    </row>
    <row r="1013" spans="3:6" s="32" customFormat="1" x14ac:dyDescent="0.25">
      <c r="C1013" s="39"/>
      <c r="E1013" s="59"/>
      <c r="F1013" s="68"/>
    </row>
    <row r="1014" spans="3:6" s="32" customFormat="1" x14ac:dyDescent="0.25">
      <c r="C1014" s="39"/>
      <c r="E1014" s="59"/>
      <c r="F1014" s="68"/>
    </row>
    <row r="1015" spans="3:6" s="32" customFormat="1" x14ac:dyDescent="0.25">
      <c r="C1015" s="39"/>
      <c r="E1015" s="59"/>
      <c r="F1015" s="68"/>
    </row>
    <row r="1016" spans="3:6" s="32" customFormat="1" x14ac:dyDescent="0.25">
      <c r="C1016" s="39"/>
      <c r="E1016" s="59"/>
      <c r="F1016" s="68"/>
    </row>
    <row r="1017" spans="3:6" s="32" customFormat="1" x14ac:dyDescent="0.25">
      <c r="C1017" s="39"/>
      <c r="E1017" s="59"/>
      <c r="F1017" s="68"/>
    </row>
    <row r="1018" spans="3:6" s="32" customFormat="1" x14ac:dyDescent="0.25">
      <c r="C1018" s="39"/>
      <c r="E1018" s="59"/>
      <c r="F1018" s="68"/>
    </row>
    <row r="1019" spans="3:6" s="32" customFormat="1" x14ac:dyDescent="0.25">
      <c r="C1019" s="39"/>
      <c r="E1019" s="59"/>
      <c r="F1019" s="68"/>
    </row>
    <row r="1020" spans="3:6" s="32" customFormat="1" x14ac:dyDescent="0.25">
      <c r="C1020" s="39"/>
      <c r="E1020" s="59"/>
      <c r="F1020" s="68"/>
    </row>
    <row r="1021" spans="3:6" s="32" customFormat="1" x14ac:dyDescent="0.25">
      <c r="C1021" s="39"/>
      <c r="E1021" s="59"/>
      <c r="F1021" s="68"/>
    </row>
    <row r="1022" spans="3:6" s="32" customFormat="1" x14ac:dyDescent="0.25">
      <c r="C1022" s="39"/>
      <c r="E1022" s="59"/>
      <c r="F1022" s="68"/>
    </row>
    <row r="1023" spans="3:6" s="32" customFormat="1" x14ac:dyDescent="0.25">
      <c r="C1023" s="39"/>
      <c r="E1023" s="59"/>
      <c r="F1023" s="68"/>
    </row>
    <row r="1024" spans="3:6" s="32" customFormat="1" x14ac:dyDescent="0.25">
      <c r="C1024" s="39"/>
      <c r="E1024" s="59"/>
      <c r="F1024" s="68"/>
    </row>
    <row r="1025" spans="3:6" s="32" customFormat="1" x14ac:dyDescent="0.25">
      <c r="C1025" s="39"/>
      <c r="E1025" s="59"/>
      <c r="F1025" s="68"/>
    </row>
    <row r="1026" spans="3:6" s="32" customFormat="1" x14ac:dyDescent="0.25">
      <c r="C1026" s="39"/>
      <c r="E1026" s="59"/>
      <c r="F1026" s="68"/>
    </row>
    <row r="1027" spans="3:6" s="32" customFormat="1" x14ac:dyDescent="0.25">
      <c r="C1027" s="39"/>
      <c r="E1027" s="59"/>
      <c r="F1027" s="68"/>
    </row>
    <row r="1028" spans="3:6" s="32" customFormat="1" x14ac:dyDescent="0.25">
      <c r="C1028" s="39"/>
      <c r="E1028" s="59"/>
      <c r="F1028" s="68"/>
    </row>
    <row r="1029" spans="3:6" s="32" customFormat="1" x14ac:dyDescent="0.25">
      <c r="C1029" s="39"/>
      <c r="E1029" s="59"/>
      <c r="F1029" s="68"/>
    </row>
    <row r="1030" spans="3:6" s="32" customFormat="1" x14ac:dyDescent="0.25">
      <c r="C1030" s="39"/>
      <c r="E1030" s="59"/>
      <c r="F1030" s="68"/>
    </row>
    <row r="1031" spans="3:6" s="32" customFormat="1" x14ac:dyDescent="0.25">
      <c r="C1031" s="39"/>
      <c r="E1031" s="59"/>
      <c r="F1031" s="68"/>
    </row>
    <row r="1032" spans="3:6" s="32" customFormat="1" x14ac:dyDescent="0.25">
      <c r="C1032" s="39"/>
      <c r="E1032" s="59"/>
      <c r="F1032" s="68"/>
    </row>
    <row r="1033" spans="3:6" s="32" customFormat="1" x14ac:dyDescent="0.25">
      <c r="C1033" s="39"/>
      <c r="E1033" s="59"/>
      <c r="F1033" s="68"/>
    </row>
    <row r="1034" spans="3:6" s="32" customFormat="1" x14ac:dyDescent="0.25">
      <c r="C1034" s="39"/>
      <c r="E1034" s="59"/>
      <c r="F1034" s="68"/>
    </row>
    <row r="1035" spans="3:6" s="32" customFormat="1" x14ac:dyDescent="0.25">
      <c r="C1035" s="39"/>
      <c r="E1035" s="59"/>
      <c r="F1035" s="68"/>
    </row>
    <row r="1036" spans="3:6" s="32" customFormat="1" x14ac:dyDescent="0.25">
      <c r="C1036" s="39"/>
      <c r="E1036" s="59"/>
      <c r="F1036" s="68"/>
    </row>
    <row r="1037" spans="3:6" s="32" customFormat="1" x14ac:dyDescent="0.25">
      <c r="C1037" s="39"/>
      <c r="E1037" s="59"/>
      <c r="F1037" s="68"/>
    </row>
    <row r="1038" spans="3:6" s="32" customFormat="1" x14ac:dyDescent="0.25">
      <c r="C1038" s="39"/>
      <c r="E1038" s="59"/>
      <c r="F1038" s="68"/>
    </row>
    <row r="1039" spans="3:6" s="32" customFormat="1" x14ac:dyDescent="0.25">
      <c r="C1039" s="39"/>
      <c r="E1039" s="59"/>
      <c r="F1039" s="68"/>
    </row>
    <row r="1040" spans="3:6" s="32" customFormat="1" x14ac:dyDescent="0.25">
      <c r="C1040" s="39"/>
      <c r="E1040" s="59"/>
      <c r="F1040" s="68"/>
    </row>
    <row r="1041" spans="3:6" s="32" customFormat="1" x14ac:dyDescent="0.25">
      <c r="C1041" s="39"/>
      <c r="E1041" s="59"/>
      <c r="F1041" s="68"/>
    </row>
    <row r="1042" spans="3:6" s="32" customFormat="1" x14ac:dyDescent="0.25">
      <c r="C1042" s="39"/>
      <c r="E1042" s="59"/>
      <c r="F1042" s="68"/>
    </row>
    <row r="1043" spans="3:6" s="32" customFormat="1" x14ac:dyDescent="0.25">
      <c r="C1043" s="39"/>
      <c r="E1043" s="59"/>
      <c r="F1043" s="68"/>
    </row>
    <row r="1044" spans="3:6" s="32" customFormat="1" x14ac:dyDescent="0.25">
      <c r="C1044" s="39"/>
      <c r="E1044" s="59"/>
      <c r="F1044" s="68"/>
    </row>
    <row r="1045" spans="3:6" s="32" customFormat="1" x14ac:dyDescent="0.25">
      <c r="C1045" s="39"/>
      <c r="E1045" s="59"/>
      <c r="F1045" s="68"/>
    </row>
    <row r="1046" spans="3:6" s="32" customFormat="1" x14ac:dyDescent="0.25">
      <c r="C1046" s="39"/>
      <c r="E1046" s="59"/>
      <c r="F1046" s="68"/>
    </row>
    <row r="1047" spans="3:6" s="32" customFormat="1" x14ac:dyDescent="0.25">
      <c r="C1047" s="39"/>
      <c r="E1047" s="59"/>
      <c r="F1047" s="68"/>
    </row>
    <row r="1048" spans="3:6" s="32" customFormat="1" x14ac:dyDescent="0.25">
      <c r="C1048" s="39"/>
      <c r="E1048" s="59"/>
      <c r="F1048" s="68"/>
    </row>
    <row r="1049" spans="3:6" s="32" customFormat="1" x14ac:dyDescent="0.25">
      <c r="C1049" s="39"/>
      <c r="E1049" s="59"/>
      <c r="F1049" s="68"/>
    </row>
    <row r="1050" spans="3:6" s="32" customFormat="1" x14ac:dyDescent="0.25">
      <c r="C1050" s="39"/>
      <c r="E1050" s="59"/>
      <c r="F1050" s="68"/>
    </row>
    <row r="1051" spans="3:6" s="32" customFormat="1" x14ac:dyDescent="0.25">
      <c r="C1051" s="39"/>
      <c r="E1051" s="59"/>
      <c r="F1051" s="68"/>
    </row>
    <row r="1052" spans="3:6" s="32" customFormat="1" x14ac:dyDescent="0.25">
      <c r="C1052" s="39"/>
      <c r="E1052" s="59"/>
      <c r="F1052" s="68"/>
    </row>
    <row r="1053" spans="3:6" s="32" customFormat="1" x14ac:dyDescent="0.25">
      <c r="C1053" s="39"/>
      <c r="E1053" s="59"/>
      <c r="F1053" s="68"/>
    </row>
    <row r="1054" spans="3:6" s="32" customFormat="1" x14ac:dyDescent="0.25">
      <c r="C1054" s="39"/>
      <c r="E1054" s="59"/>
      <c r="F1054" s="68"/>
    </row>
    <row r="1055" spans="3:6" s="32" customFormat="1" x14ac:dyDescent="0.25">
      <c r="C1055" s="39"/>
      <c r="E1055" s="59"/>
      <c r="F1055" s="68"/>
    </row>
    <row r="1056" spans="3:6" s="32" customFormat="1" x14ac:dyDescent="0.25">
      <c r="C1056" s="39"/>
      <c r="E1056" s="59"/>
      <c r="F1056" s="68"/>
    </row>
    <row r="1057" spans="3:6" s="32" customFormat="1" x14ac:dyDescent="0.25">
      <c r="C1057" s="39"/>
      <c r="E1057" s="59"/>
      <c r="F1057" s="68"/>
    </row>
    <row r="1058" spans="3:6" s="32" customFormat="1" x14ac:dyDescent="0.25">
      <c r="C1058" s="39"/>
      <c r="E1058" s="59"/>
      <c r="F1058" s="68"/>
    </row>
    <row r="1059" spans="3:6" s="32" customFormat="1" x14ac:dyDescent="0.25">
      <c r="C1059" s="39"/>
      <c r="E1059" s="59"/>
      <c r="F1059" s="68"/>
    </row>
    <row r="1060" spans="3:6" s="32" customFormat="1" x14ac:dyDescent="0.25">
      <c r="C1060" s="39"/>
      <c r="E1060" s="59"/>
      <c r="F1060" s="68"/>
    </row>
    <row r="1061" spans="3:6" s="32" customFormat="1" x14ac:dyDescent="0.25">
      <c r="C1061" s="39"/>
      <c r="E1061" s="59"/>
      <c r="F1061" s="68"/>
    </row>
    <row r="1062" spans="3:6" s="32" customFormat="1" x14ac:dyDescent="0.25">
      <c r="C1062" s="39"/>
      <c r="E1062" s="59"/>
      <c r="F1062" s="68"/>
    </row>
    <row r="1063" spans="3:6" s="32" customFormat="1" x14ac:dyDescent="0.25">
      <c r="C1063" s="39"/>
      <c r="E1063" s="59"/>
      <c r="F1063" s="68"/>
    </row>
  </sheetData>
  <mergeCells count="8">
    <mergeCell ref="A177:F177"/>
    <mergeCell ref="C1:G1"/>
    <mergeCell ref="A49:F49"/>
    <mergeCell ref="A50:F50"/>
    <mergeCell ref="A87:F87"/>
    <mergeCell ref="A88:F88"/>
    <mergeCell ref="A128:F128"/>
    <mergeCell ref="A129:F129"/>
  </mergeCells>
  <pageMargins left="0.51181102362204722" right="0.39370078740157483" top="0.94488188976377963" bottom="0.74803149606299213" header="0.23622047244094491" footer="0.31496062992125984"/>
  <pageSetup paperSize="9" firstPageNumber="109"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G</oddHeader>
    <oddFooter>&amp;L&amp;"Arial,Regular"&amp;9Bill of Quantities&amp;R&amp;"Arial,Regular"&amp;9BOQ.&amp;P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7"/>
  <sheetViews>
    <sheetView tabSelected="1" view="pageBreakPreview" topLeftCell="A7" zoomScaleNormal="100" zoomScaleSheetLayoutView="100" workbookViewId="0">
      <selection activeCell="C10" sqref="C10"/>
    </sheetView>
  </sheetViews>
  <sheetFormatPr defaultRowHeight="15" x14ac:dyDescent="0.25"/>
  <cols>
    <col min="1" max="1" width="9.7109375" bestFit="1" customWidth="1"/>
    <col min="2" max="2" width="54.28515625" customWidth="1"/>
    <col min="3" max="3" width="30" customWidth="1"/>
    <col min="4" max="4" width="10" bestFit="1" customWidth="1"/>
    <col min="5" max="5" width="15.140625" bestFit="1" customWidth="1"/>
    <col min="6" max="6" width="18.42578125" bestFit="1" customWidth="1"/>
  </cols>
  <sheetData>
    <row r="1" spans="1:6" ht="9" customHeight="1" x14ac:dyDescent="0.25">
      <c r="A1" s="542" t="s">
        <v>147</v>
      </c>
      <c r="B1" s="543"/>
      <c r="C1" s="544"/>
    </row>
    <row r="2" spans="1:6" ht="3" customHeight="1" x14ac:dyDescent="0.25">
      <c r="A2" s="545"/>
      <c r="B2" s="546"/>
      <c r="C2" s="547"/>
    </row>
    <row r="3" spans="1:6" ht="3.75" customHeight="1" x14ac:dyDescent="0.25">
      <c r="A3" s="545"/>
      <c r="B3" s="546"/>
      <c r="C3" s="547"/>
    </row>
    <row r="4" spans="1:6" ht="2.4500000000000002" customHeight="1" x14ac:dyDescent="0.25">
      <c r="A4" s="548"/>
      <c r="B4" s="549"/>
      <c r="C4" s="550"/>
    </row>
    <row r="5" spans="1:6" x14ac:dyDescent="0.25">
      <c r="A5" s="41" t="s">
        <v>84</v>
      </c>
      <c r="B5" s="200" t="s">
        <v>0</v>
      </c>
      <c r="C5" s="42" t="s">
        <v>77</v>
      </c>
    </row>
    <row r="6" spans="1:6" ht="42.6" customHeight="1" x14ac:dyDescent="0.25">
      <c r="A6" s="44" t="s">
        <v>137</v>
      </c>
      <c r="B6" s="199" t="s">
        <v>95</v>
      </c>
      <c r="C6" s="43"/>
    </row>
    <row r="7" spans="1:6" ht="42.6" customHeight="1" x14ac:dyDescent="0.25">
      <c r="A7" s="44" t="s">
        <v>1175</v>
      </c>
      <c r="B7" s="199" t="s">
        <v>2112</v>
      </c>
      <c r="C7" s="269"/>
    </row>
    <row r="8" spans="1:6" ht="42.6" customHeight="1" x14ac:dyDescent="0.25">
      <c r="A8" s="44" t="s">
        <v>138</v>
      </c>
      <c r="B8" s="199" t="s">
        <v>2113</v>
      </c>
      <c r="C8" s="269"/>
      <c r="E8" s="93"/>
      <c r="F8" s="92"/>
    </row>
    <row r="9" spans="1:6" ht="42.6" customHeight="1" x14ac:dyDescent="0.25">
      <c r="A9" s="44" t="s">
        <v>139</v>
      </c>
      <c r="B9" s="268" t="s">
        <v>2114</v>
      </c>
      <c r="C9" s="269"/>
    </row>
    <row r="10" spans="1:6" ht="42.6" customHeight="1" x14ac:dyDescent="0.25">
      <c r="A10" s="44" t="s">
        <v>140</v>
      </c>
      <c r="B10" s="268" t="s">
        <v>2115</v>
      </c>
      <c r="C10" s="269"/>
      <c r="F10" s="91"/>
    </row>
    <row r="11" spans="1:6" ht="42.6" customHeight="1" x14ac:dyDescent="0.25">
      <c r="A11" s="44" t="s">
        <v>173</v>
      </c>
      <c r="B11" s="268" t="s">
        <v>2116</v>
      </c>
      <c r="C11" s="269"/>
    </row>
    <row r="12" spans="1:6" ht="42.6" customHeight="1" x14ac:dyDescent="0.25">
      <c r="A12" s="44" t="s">
        <v>174</v>
      </c>
      <c r="B12" s="268" t="s">
        <v>619</v>
      </c>
      <c r="C12" s="269"/>
    </row>
    <row r="13" spans="1:6" ht="42.6" customHeight="1" x14ac:dyDescent="0.25">
      <c r="A13" s="44" t="s">
        <v>735</v>
      </c>
      <c r="B13" s="268" t="s">
        <v>2117</v>
      </c>
      <c r="C13" s="269"/>
    </row>
    <row r="14" spans="1:6" ht="42.6" customHeight="1" x14ac:dyDescent="0.25">
      <c r="A14" s="44" t="s">
        <v>239</v>
      </c>
      <c r="B14" s="268" t="s">
        <v>2118</v>
      </c>
      <c r="C14" s="269"/>
    </row>
    <row r="15" spans="1:6" ht="42.6" customHeight="1" x14ac:dyDescent="0.25">
      <c r="A15" s="44" t="s">
        <v>1100</v>
      </c>
      <c r="B15" s="268" t="s">
        <v>1101</v>
      </c>
      <c r="C15" s="269"/>
    </row>
    <row r="16" spans="1:6" ht="42.6" customHeight="1" x14ac:dyDescent="0.25">
      <c r="A16" s="44" t="s">
        <v>1103</v>
      </c>
      <c r="B16" s="268" t="s">
        <v>2119</v>
      </c>
      <c r="C16" s="269"/>
    </row>
    <row r="17" spans="1:6" ht="42.6" customHeight="1" x14ac:dyDescent="0.25">
      <c r="A17" s="552" t="s">
        <v>1102</v>
      </c>
      <c r="B17" s="553"/>
      <c r="C17" s="160"/>
      <c r="E17" s="91"/>
      <c r="F17" s="12"/>
    </row>
    <row r="18" spans="1:6" ht="6.95" customHeight="1" x14ac:dyDescent="0.25">
      <c r="A18" s="447"/>
      <c r="B18" s="448"/>
      <c r="C18" s="449"/>
      <c r="F18" s="12"/>
    </row>
    <row r="19" spans="1:6" ht="42.6" customHeight="1" x14ac:dyDescent="0.25">
      <c r="A19" s="556" t="s">
        <v>2395</v>
      </c>
      <c r="B19" s="557"/>
      <c r="C19" s="111"/>
      <c r="F19" s="12"/>
    </row>
    <row r="20" spans="1:6" ht="6.95" customHeight="1" x14ac:dyDescent="0.25">
      <c r="A20" s="447"/>
      <c r="B20" s="448"/>
      <c r="C20" s="449"/>
    </row>
    <row r="21" spans="1:6" ht="42.6" customHeight="1" x14ac:dyDescent="0.25">
      <c r="A21" s="554" t="s">
        <v>86</v>
      </c>
      <c r="B21" s="555"/>
      <c r="C21" s="110"/>
      <c r="F21" s="47"/>
    </row>
    <row r="22" spans="1:6" ht="6.95" customHeight="1" x14ac:dyDescent="0.25">
      <c r="A22" s="447"/>
      <c r="B22" s="448"/>
      <c r="C22" s="449"/>
    </row>
    <row r="23" spans="1:6" ht="42.6" customHeight="1" x14ac:dyDescent="0.25">
      <c r="A23" s="558" t="s">
        <v>89</v>
      </c>
      <c r="B23" s="558"/>
      <c r="C23" s="111"/>
      <c r="F23" s="48"/>
    </row>
    <row r="24" spans="1:6" ht="6.95" customHeight="1" x14ac:dyDescent="0.25">
      <c r="A24" s="100"/>
      <c r="B24" s="101"/>
      <c r="C24" s="102"/>
    </row>
    <row r="25" spans="1:6" ht="42.6" customHeight="1" x14ac:dyDescent="0.25">
      <c r="A25" s="551" t="s">
        <v>85</v>
      </c>
      <c r="B25" s="551"/>
      <c r="C25" s="104"/>
    </row>
    <row r="27" spans="1:6" x14ac:dyDescent="0.25">
      <c r="C27" s="12"/>
    </row>
  </sheetData>
  <mergeCells count="6">
    <mergeCell ref="A1:C4"/>
    <mergeCell ref="A25:B25"/>
    <mergeCell ref="A17:B17"/>
    <mergeCell ref="A21:B21"/>
    <mergeCell ref="A19:B19"/>
    <mergeCell ref="A23:B23"/>
  </mergeCells>
  <pageMargins left="0.51181102362204722" right="0.31496062992125984" top="0.94488188976377963" bottom="0.74803149606299213" header="0.23622047244094491" footer="0.31496062992125984"/>
  <pageSetup paperSize="9" firstPageNumber="113"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7672&amp;R&amp;"Arial,Regular"&amp;9Summary of Schedules</oddHeader>
    <oddFooter>&amp;L&amp;"Arial,Regular"&amp;9Bill of Quantities&amp;R&amp;"Arial,Regular"&amp;9BOQ.&amp;P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35BE2-41E5-440C-83A4-74CD853C7A0A}">
  <dimension ref="A1:G907"/>
  <sheetViews>
    <sheetView view="pageBreakPreview" zoomScale="115" zoomScaleNormal="115" zoomScaleSheetLayoutView="115" workbookViewId="0">
      <selection activeCell="B25" sqref="B25"/>
    </sheetView>
  </sheetViews>
  <sheetFormatPr defaultColWidth="8" defaultRowHeight="12" x14ac:dyDescent="0.25"/>
  <cols>
    <col min="1" max="1" width="8.28515625" style="32" bestFit="1" customWidth="1"/>
    <col min="2" max="2" width="35.140625" style="21" customWidth="1"/>
    <col min="3" max="3" width="5.140625" style="32" customWidth="1"/>
    <col min="4" max="4" width="7.140625" style="59" customWidth="1"/>
    <col min="5" max="5" width="12.140625" style="68" customWidth="1"/>
    <col min="6" max="6" width="27.7109375" style="95" customWidth="1"/>
    <col min="7" max="16384" width="8" style="21"/>
  </cols>
  <sheetData>
    <row r="1" spans="1:6" ht="15" customHeight="1" x14ac:dyDescent="0.25">
      <c r="A1" s="89"/>
      <c r="B1" s="528" t="s">
        <v>75</v>
      </c>
      <c r="C1" s="528"/>
      <c r="D1" s="528"/>
      <c r="E1" s="528"/>
      <c r="F1" s="529"/>
    </row>
    <row r="2" spans="1:6" ht="27.75" customHeight="1" x14ac:dyDescent="0.25">
      <c r="A2" s="530" t="s">
        <v>1113</v>
      </c>
      <c r="B2" s="531"/>
      <c r="C2" s="531"/>
      <c r="D2" s="531"/>
      <c r="E2" s="531"/>
      <c r="F2" s="532"/>
    </row>
    <row r="3" spans="1:6" ht="12" customHeight="1" x14ac:dyDescent="0.25">
      <c r="A3" s="535"/>
      <c r="B3" s="536"/>
      <c r="C3" s="536"/>
      <c r="D3" s="536"/>
      <c r="E3" s="536"/>
      <c r="F3" s="537"/>
    </row>
    <row r="4" spans="1:6" ht="30" customHeight="1" x14ac:dyDescent="0.25">
      <c r="A4" s="31" t="s">
        <v>1111</v>
      </c>
      <c r="B4" s="533" t="s">
        <v>0</v>
      </c>
      <c r="C4" s="533"/>
      <c r="D4" s="533"/>
      <c r="E4" s="533"/>
      <c r="F4" s="77" t="s">
        <v>77</v>
      </c>
    </row>
    <row r="5" spans="1:6" ht="9.9499999999999993" customHeight="1" x14ac:dyDescent="0.25">
      <c r="A5" s="535"/>
      <c r="B5" s="536"/>
      <c r="C5" s="536"/>
      <c r="D5" s="536"/>
      <c r="E5" s="536"/>
      <c r="F5" s="537"/>
    </row>
    <row r="6" spans="1:6" ht="39.950000000000003" customHeight="1" x14ac:dyDescent="0.25">
      <c r="A6" s="44" t="s">
        <v>96</v>
      </c>
      <c r="B6" s="534" t="s">
        <v>25</v>
      </c>
      <c r="C6" s="534"/>
      <c r="D6" s="534"/>
      <c r="E6" s="534"/>
      <c r="F6" s="158"/>
    </row>
    <row r="7" spans="1:6" ht="9.9499999999999993" customHeight="1" x14ac:dyDescent="0.25">
      <c r="A7" s="535"/>
      <c r="B7" s="536"/>
      <c r="C7" s="536"/>
      <c r="D7" s="536"/>
      <c r="E7" s="536"/>
      <c r="F7" s="537"/>
    </row>
    <row r="8" spans="1:6" ht="39.950000000000003" customHeight="1" x14ac:dyDescent="0.25">
      <c r="A8" s="44" t="s">
        <v>108</v>
      </c>
      <c r="B8" s="534" t="s">
        <v>50</v>
      </c>
      <c r="C8" s="534"/>
      <c r="D8" s="534"/>
      <c r="E8" s="534"/>
      <c r="F8" s="158"/>
    </row>
    <row r="9" spans="1:6" ht="9.9499999999999993" customHeight="1" x14ac:dyDescent="0.25">
      <c r="A9" s="535"/>
      <c r="B9" s="536"/>
      <c r="C9" s="536"/>
      <c r="D9" s="536"/>
      <c r="E9" s="536"/>
      <c r="F9" s="537"/>
    </row>
    <row r="10" spans="1:6" ht="39.950000000000003" customHeight="1" x14ac:dyDescent="0.25">
      <c r="A10" s="44" t="s">
        <v>120</v>
      </c>
      <c r="B10" s="534" t="s">
        <v>1112</v>
      </c>
      <c r="C10" s="534"/>
      <c r="D10" s="534"/>
      <c r="E10" s="534"/>
      <c r="F10" s="299"/>
    </row>
    <row r="11" spans="1:6" ht="9.9499999999999993" customHeight="1" x14ac:dyDescent="0.25">
      <c r="A11" s="535"/>
      <c r="B11" s="536"/>
      <c r="C11" s="536"/>
      <c r="D11" s="536"/>
      <c r="E11" s="536"/>
      <c r="F11" s="537"/>
    </row>
    <row r="12" spans="1:6" ht="39.950000000000003" customHeight="1" x14ac:dyDescent="0.25">
      <c r="A12" s="44" t="s">
        <v>129</v>
      </c>
      <c r="B12" s="534" t="s">
        <v>70</v>
      </c>
      <c r="C12" s="534"/>
      <c r="D12" s="534"/>
      <c r="E12" s="534"/>
      <c r="F12" s="298"/>
    </row>
    <row r="13" spans="1:6" ht="9.9499999999999993" customHeight="1" x14ac:dyDescent="0.25">
      <c r="A13" s="535"/>
      <c r="B13" s="536"/>
      <c r="C13" s="536"/>
      <c r="D13" s="536"/>
      <c r="E13" s="536"/>
      <c r="F13" s="537"/>
    </row>
    <row r="14" spans="1:6" ht="39.950000000000003" customHeight="1" x14ac:dyDescent="0.25">
      <c r="A14" s="44" t="s">
        <v>130</v>
      </c>
      <c r="B14" s="534" t="s">
        <v>68</v>
      </c>
      <c r="C14" s="534"/>
      <c r="D14" s="534"/>
      <c r="E14" s="534"/>
      <c r="F14" s="298"/>
    </row>
    <row r="15" spans="1:6" ht="12" customHeight="1" x14ac:dyDescent="0.25">
      <c r="A15" s="535"/>
      <c r="B15" s="536"/>
      <c r="C15" s="536"/>
      <c r="D15" s="536"/>
      <c r="E15" s="536"/>
      <c r="F15" s="537"/>
    </row>
    <row r="16" spans="1:6" ht="39.950000000000003" customHeight="1" x14ac:dyDescent="0.25">
      <c r="A16" s="41" t="s">
        <v>137</v>
      </c>
      <c r="B16" s="526" t="s">
        <v>1114</v>
      </c>
      <c r="C16" s="526"/>
      <c r="D16" s="526"/>
      <c r="E16" s="526"/>
      <c r="F16" s="298"/>
    </row>
    <row r="17" spans="1:6" x14ac:dyDescent="0.25">
      <c r="A17" s="300"/>
      <c r="B17" s="301"/>
      <c r="C17" s="301"/>
      <c r="D17" s="301"/>
      <c r="E17" s="301"/>
      <c r="F17" s="302"/>
    </row>
    <row r="18" spans="1:6" x14ac:dyDescent="0.25">
      <c r="A18" s="300"/>
      <c r="B18" s="301"/>
      <c r="C18" s="301"/>
      <c r="D18" s="301"/>
      <c r="E18" s="301"/>
      <c r="F18" s="302"/>
    </row>
    <row r="19" spans="1:6" x14ac:dyDescent="0.25">
      <c r="A19" s="300"/>
      <c r="B19" s="301"/>
      <c r="C19" s="301"/>
      <c r="D19" s="301"/>
      <c r="E19" s="301"/>
      <c r="F19" s="302"/>
    </row>
    <row r="20" spans="1:6" x14ac:dyDescent="0.25">
      <c r="A20" s="300"/>
      <c r="B20" s="301"/>
      <c r="C20" s="301"/>
      <c r="D20" s="301"/>
      <c r="E20" s="301"/>
      <c r="F20" s="302"/>
    </row>
    <row r="21" spans="1:6" x14ac:dyDescent="0.25">
      <c r="A21" s="300"/>
      <c r="B21" s="301"/>
      <c r="C21" s="301"/>
      <c r="D21" s="301"/>
      <c r="E21" s="301"/>
      <c r="F21" s="302"/>
    </row>
    <row r="22" spans="1:6" x14ac:dyDescent="0.25">
      <c r="A22" s="300"/>
      <c r="B22" s="301"/>
      <c r="C22" s="301"/>
      <c r="D22" s="301"/>
      <c r="E22" s="301"/>
      <c r="F22" s="302"/>
    </row>
    <row r="23" spans="1:6" x14ac:dyDescent="0.25">
      <c r="A23" s="300"/>
      <c r="B23" s="301"/>
      <c r="C23" s="301"/>
      <c r="D23" s="301"/>
      <c r="E23" s="301"/>
      <c r="F23" s="302"/>
    </row>
    <row r="24" spans="1:6" x14ac:dyDescent="0.25">
      <c r="A24" s="300"/>
      <c r="B24" s="301"/>
      <c r="C24" s="301"/>
      <c r="D24" s="301"/>
      <c r="E24" s="301"/>
      <c r="F24" s="302"/>
    </row>
    <row r="25" spans="1:6" x14ac:dyDescent="0.25">
      <c r="A25" s="300"/>
      <c r="B25" s="301"/>
      <c r="C25" s="301"/>
      <c r="D25" s="301"/>
      <c r="E25" s="301"/>
      <c r="F25" s="302"/>
    </row>
    <row r="26" spans="1:6" x14ac:dyDescent="0.25">
      <c r="A26" s="300"/>
      <c r="B26" s="301"/>
      <c r="C26" s="301"/>
      <c r="D26" s="301"/>
      <c r="E26" s="301"/>
      <c r="F26" s="302"/>
    </row>
    <row r="27" spans="1:6" x14ac:dyDescent="0.25">
      <c r="A27" s="300"/>
      <c r="B27" s="301"/>
      <c r="C27" s="301"/>
      <c r="D27" s="301"/>
      <c r="E27" s="301"/>
      <c r="F27" s="302"/>
    </row>
    <row r="28" spans="1:6" x14ac:dyDescent="0.25">
      <c r="A28" s="300"/>
      <c r="B28" s="301"/>
      <c r="C28" s="301"/>
      <c r="D28" s="301"/>
      <c r="E28" s="301"/>
      <c r="F28" s="302"/>
    </row>
    <row r="29" spans="1:6" x14ac:dyDescent="0.25">
      <c r="A29" s="300"/>
      <c r="B29" s="301"/>
      <c r="C29" s="301"/>
      <c r="D29" s="301"/>
      <c r="E29" s="301"/>
      <c r="F29" s="302"/>
    </row>
    <row r="30" spans="1:6" x14ac:dyDescent="0.25">
      <c r="A30" s="300"/>
      <c r="B30" s="301"/>
      <c r="C30" s="301"/>
      <c r="D30" s="301"/>
      <c r="E30" s="301"/>
      <c r="F30" s="302"/>
    </row>
    <row r="31" spans="1:6" x14ac:dyDescent="0.25">
      <c r="A31" s="300"/>
      <c r="B31" s="301"/>
      <c r="C31" s="301"/>
      <c r="D31" s="301"/>
      <c r="E31" s="301"/>
      <c r="F31" s="302"/>
    </row>
    <row r="32" spans="1:6" ht="12" customHeight="1" x14ac:dyDescent="0.25">
      <c r="A32" s="303"/>
      <c r="B32" s="304"/>
      <c r="C32" s="35"/>
      <c r="D32" s="305"/>
      <c r="E32" s="306"/>
      <c r="F32" s="302"/>
    </row>
    <row r="33" spans="1:6" ht="12" customHeight="1" x14ac:dyDescent="0.25">
      <c r="A33" s="303"/>
      <c r="B33" s="304"/>
      <c r="C33" s="35"/>
      <c r="D33" s="305"/>
      <c r="E33" s="306"/>
      <c r="F33" s="302"/>
    </row>
    <row r="34" spans="1:6" ht="12" customHeight="1" x14ac:dyDescent="0.25">
      <c r="A34" s="303"/>
      <c r="B34" s="304"/>
      <c r="C34" s="35"/>
      <c r="D34" s="305"/>
      <c r="E34" s="306"/>
      <c r="F34" s="302"/>
    </row>
    <row r="35" spans="1:6" ht="12" customHeight="1" x14ac:dyDescent="0.25">
      <c r="A35" s="303"/>
      <c r="B35" s="304"/>
      <c r="C35" s="35"/>
      <c r="D35" s="305"/>
      <c r="E35" s="306"/>
      <c r="F35" s="302"/>
    </row>
    <row r="36" spans="1:6" ht="12" customHeight="1" x14ac:dyDescent="0.25">
      <c r="A36" s="303"/>
      <c r="B36" s="304"/>
      <c r="C36" s="35"/>
      <c r="D36" s="305"/>
      <c r="E36" s="306"/>
      <c r="F36" s="302"/>
    </row>
    <row r="37" spans="1:6" ht="12" customHeight="1" x14ac:dyDescent="0.25">
      <c r="A37" s="303"/>
      <c r="B37" s="304"/>
      <c r="C37" s="35"/>
      <c r="D37" s="305"/>
      <c r="E37" s="306"/>
      <c r="F37" s="302"/>
    </row>
    <row r="38" spans="1:6" ht="12" customHeight="1" x14ac:dyDescent="0.25">
      <c r="A38" s="303"/>
      <c r="B38" s="304"/>
      <c r="C38" s="35"/>
      <c r="D38" s="305"/>
      <c r="E38" s="306"/>
      <c r="F38" s="302"/>
    </row>
    <row r="39" spans="1:6" ht="12" customHeight="1" x14ac:dyDescent="0.25">
      <c r="A39" s="303"/>
      <c r="B39" s="304"/>
      <c r="C39" s="35"/>
      <c r="D39" s="305"/>
      <c r="E39" s="306"/>
      <c r="F39" s="302"/>
    </row>
    <row r="40" spans="1:6" ht="12" customHeight="1" x14ac:dyDescent="0.25">
      <c r="A40" s="303"/>
      <c r="B40" s="304"/>
      <c r="C40" s="35"/>
      <c r="D40" s="305"/>
      <c r="E40" s="306"/>
      <c r="F40" s="302"/>
    </row>
    <row r="41" spans="1:6" ht="12" customHeight="1" x14ac:dyDescent="0.25">
      <c r="A41" s="303"/>
      <c r="B41" s="304"/>
      <c r="C41" s="35"/>
      <c r="D41" s="305"/>
      <c r="E41" s="306"/>
      <c r="F41" s="302"/>
    </row>
    <row r="42" spans="1:6" ht="12" customHeight="1" x14ac:dyDescent="0.25">
      <c r="A42" s="303"/>
      <c r="B42" s="304"/>
      <c r="C42" s="35"/>
      <c r="D42" s="305"/>
      <c r="E42" s="306"/>
      <c r="F42" s="302"/>
    </row>
    <row r="43" spans="1:6" ht="12" customHeight="1" x14ac:dyDescent="0.25">
      <c r="A43" s="303"/>
      <c r="B43" s="304"/>
      <c r="C43" s="35"/>
      <c r="D43" s="305"/>
      <c r="E43" s="306"/>
      <c r="F43" s="302"/>
    </row>
    <row r="44" spans="1:6" ht="12" customHeight="1" x14ac:dyDescent="0.25">
      <c r="A44" s="303"/>
      <c r="B44" s="304"/>
      <c r="C44" s="35"/>
      <c r="D44" s="305"/>
      <c r="E44" s="306"/>
      <c r="F44" s="302"/>
    </row>
    <row r="45" spans="1:6" ht="12" customHeight="1" x14ac:dyDescent="0.25">
      <c r="A45" s="303"/>
      <c r="B45" s="304"/>
      <c r="C45" s="35"/>
      <c r="D45" s="305"/>
      <c r="E45" s="306"/>
      <c r="F45" s="302"/>
    </row>
    <row r="46" spans="1:6" ht="12" customHeight="1" x14ac:dyDescent="0.25">
      <c r="A46" s="303"/>
      <c r="B46" s="304"/>
      <c r="C46" s="35"/>
      <c r="D46" s="305"/>
      <c r="E46" s="306"/>
      <c r="F46" s="302"/>
    </row>
    <row r="47" spans="1:6" ht="12" customHeight="1" x14ac:dyDescent="0.25">
      <c r="A47" s="303"/>
      <c r="B47" s="304"/>
      <c r="C47" s="35"/>
      <c r="D47" s="305"/>
      <c r="E47" s="306"/>
      <c r="F47" s="302"/>
    </row>
    <row r="48" spans="1:6" ht="12" customHeight="1" x14ac:dyDescent="0.25">
      <c r="A48" s="303"/>
      <c r="B48" s="39"/>
      <c r="C48" s="35"/>
      <c r="D48" s="307"/>
      <c r="E48" s="308"/>
      <c r="F48" s="309"/>
    </row>
    <row r="49" spans="1:7" ht="12" customHeight="1" x14ac:dyDescent="0.25">
      <c r="A49" s="303"/>
      <c r="B49" s="39"/>
      <c r="C49" s="35"/>
      <c r="D49" s="307"/>
      <c r="E49" s="308"/>
      <c r="F49" s="309"/>
    </row>
    <row r="50" spans="1:7" ht="12" customHeight="1" x14ac:dyDescent="0.25">
      <c r="A50" s="303"/>
      <c r="B50" s="304"/>
      <c r="C50" s="35"/>
      <c r="D50" s="307"/>
      <c r="E50" s="308"/>
      <c r="F50" s="309"/>
    </row>
    <row r="51" spans="1:7" ht="12" customHeight="1" x14ac:dyDescent="0.25">
      <c r="A51" s="303"/>
      <c r="B51" s="310"/>
      <c r="C51" s="35"/>
      <c r="D51" s="307"/>
      <c r="E51" s="308"/>
      <c r="F51" s="309"/>
    </row>
    <row r="52" spans="1:7" ht="12" customHeight="1" x14ac:dyDescent="0.25">
      <c r="A52" s="303"/>
      <c r="B52" s="311"/>
      <c r="C52" s="35"/>
      <c r="D52" s="307"/>
      <c r="E52" s="308"/>
      <c r="F52" s="309"/>
    </row>
    <row r="53" spans="1:7" s="32" customFormat="1" ht="15" customHeight="1" x14ac:dyDescent="0.25">
      <c r="B53" s="39"/>
      <c r="D53" s="59"/>
      <c r="E53" s="68"/>
      <c r="F53" s="95"/>
      <c r="G53" s="21"/>
    </row>
    <row r="54" spans="1:7" s="32" customFormat="1" ht="15" customHeight="1" x14ac:dyDescent="0.25">
      <c r="B54" s="39"/>
      <c r="D54" s="59"/>
      <c r="E54" s="68"/>
      <c r="F54" s="95"/>
      <c r="G54" s="21"/>
    </row>
    <row r="55" spans="1:7" s="32" customFormat="1" ht="15" customHeight="1" x14ac:dyDescent="0.25">
      <c r="B55" s="39"/>
      <c r="D55" s="59"/>
      <c r="E55" s="68"/>
      <c r="F55" s="95"/>
      <c r="G55" s="21"/>
    </row>
    <row r="56" spans="1:7" s="32" customFormat="1" ht="15" customHeight="1" x14ac:dyDescent="0.25">
      <c r="B56" s="39"/>
      <c r="D56" s="59"/>
      <c r="E56" s="68"/>
      <c r="F56" s="95"/>
      <c r="G56" s="21"/>
    </row>
    <row r="57" spans="1:7" s="32" customFormat="1" ht="15" customHeight="1" x14ac:dyDescent="0.25">
      <c r="B57" s="39"/>
      <c r="D57" s="59"/>
      <c r="E57" s="68"/>
      <c r="F57" s="95"/>
      <c r="G57" s="21"/>
    </row>
    <row r="58" spans="1:7" s="32" customFormat="1" ht="15" customHeight="1" x14ac:dyDescent="0.25">
      <c r="B58" s="39"/>
      <c r="D58" s="59"/>
      <c r="E58" s="68"/>
      <c r="F58" s="95"/>
      <c r="G58" s="21"/>
    </row>
    <row r="59" spans="1:7" s="32" customFormat="1" ht="15" customHeight="1" x14ac:dyDescent="0.25">
      <c r="B59" s="39"/>
      <c r="D59" s="59"/>
      <c r="E59" s="68"/>
      <c r="F59" s="95"/>
      <c r="G59" s="21"/>
    </row>
    <row r="60" spans="1:7" s="32" customFormat="1" ht="15" customHeight="1" x14ac:dyDescent="0.25">
      <c r="B60" s="39"/>
      <c r="D60" s="59"/>
      <c r="E60" s="68"/>
      <c r="F60" s="95"/>
      <c r="G60" s="21"/>
    </row>
    <row r="61" spans="1:7" s="32" customFormat="1" ht="15" customHeight="1" x14ac:dyDescent="0.25">
      <c r="B61" s="39"/>
      <c r="D61" s="59"/>
      <c r="E61" s="68"/>
      <c r="F61" s="95"/>
      <c r="G61" s="21"/>
    </row>
    <row r="62" spans="1:7" s="32" customFormat="1" ht="15" customHeight="1" x14ac:dyDescent="0.25">
      <c r="B62" s="39"/>
      <c r="D62" s="59"/>
      <c r="E62" s="68"/>
      <c r="F62" s="95"/>
      <c r="G62" s="21"/>
    </row>
    <row r="63" spans="1:7" s="32" customFormat="1" ht="15" customHeight="1" x14ac:dyDescent="0.25">
      <c r="B63" s="39"/>
      <c r="D63" s="59"/>
      <c r="E63" s="68"/>
      <c r="F63" s="95"/>
      <c r="G63" s="21"/>
    </row>
    <row r="64" spans="1:7" s="32" customFormat="1" ht="15" customHeight="1" x14ac:dyDescent="0.25">
      <c r="B64" s="39"/>
      <c r="D64" s="59"/>
      <c r="E64" s="68"/>
      <c r="F64" s="95"/>
      <c r="G64" s="21"/>
    </row>
    <row r="65" spans="2:7" s="32" customFormat="1" ht="15" customHeight="1" x14ac:dyDescent="0.25">
      <c r="B65" s="39"/>
      <c r="D65" s="59"/>
      <c r="E65" s="68"/>
      <c r="F65" s="95"/>
      <c r="G65" s="21"/>
    </row>
    <row r="66" spans="2:7" s="32" customFormat="1" ht="15" customHeight="1" x14ac:dyDescent="0.25">
      <c r="B66" s="39"/>
      <c r="D66" s="59"/>
      <c r="E66" s="68"/>
      <c r="F66" s="95"/>
      <c r="G66" s="21"/>
    </row>
    <row r="67" spans="2:7" s="32" customFormat="1" ht="15" customHeight="1" x14ac:dyDescent="0.25">
      <c r="B67" s="39"/>
      <c r="D67" s="59"/>
      <c r="E67" s="68"/>
      <c r="F67" s="95"/>
      <c r="G67" s="21"/>
    </row>
    <row r="68" spans="2:7" s="32" customFormat="1" ht="15" customHeight="1" x14ac:dyDescent="0.25">
      <c r="B68" s="39"/>
      <c r="D68" s="59"/>
      <c r="E68" s="68"/>
      <c r="F68" s="95"/>
      <c r="G68" s="21"/>
    </row>
    <row r="69" spans="2:7" s="32" customFormat="1" ht="15" customHeight="1" x14ac:dyDescent="0.25">
      <c r="B69" s="39"/>
      <c r="D69" s="59"/>
      <c r="E69" s="68"/>
      <c r="F69" s="95"/>
      <c r="G69" s="21"/>
    </row>
    <row r="70" spans="2:7" s="32" customFormat="1" ht="15" customHeight="1" x14ac:dyDescent="0.25">
      <c r="B70" s="39"/>
      <c r="D70" s="59"/>
      <c r="E70" s="68"/>
      <c r="F70" s="95"/>
      <c r="G70" s="21"/>
    </row>
    <row r="71" spans="2:7" s="32" customFormat="1" ht="15" customHeight="1" x14ac:dyDescent="0.25">
      <c r="B71" s="39"/>
      <c r="D71" s="59"/>
      <c r="E71" s="68"/>
      <c r="F71" s="95"/>
      <c r="G71" s="21"/>
    </row>
    <row r="72" spans="2:7" s="32" customFormat="1" ht="15" customHeight="1" x14ac:dyDescent="0.25">
      <c r="B72" s="39"/>
      <c r="D72" s="59"/>
      <c r="E72" s="68"/>
      <c r="F72" s="95"/>
      <c r="G72" s="21"/>
    </row>
    <row r="73" spans="2:7" s="32" customFormat="1" ht="15" customHeight="1" x14ac:dyDescent="0.25">
      <c r="B73" s="39"/>
      <c r="D73" s="59"/>
      <c r="E73" s="68"/>
      <c r="F73" s="95"/>
      <c r="G73" s="21"/>
    </row>
    <row r="74" spans="2:7" s="32" customFormat="1" ht="15" customHeight="1" x14ac:dyDescent="0.25">
      <c r="B74" s="39"/>
      <c r="D74" s="59"/>
      <c r="E74" s="68"/>
      <c r="F74" s="95"/>
      <c r="G74" s="21"/>
    </row>
    <row r="75" spans="2:7" s="32" customFormat="1" ht="15" customHeight="1" x14ac:dyDescent="0.25">
      <c r="B75" s="39"/>
      <c r="D75" s="59"/>
      <c r="E75" s="68"/>
      <c r="F75" s="95"/>
      <c r="G75" s="21"/>
    </row>
    <row r="76" spans="2:7" s="32" customFormat="1" ht="15" customHeight="1" x14ac:dyDescent="0.25">
      <c r="B76" s="39"/>
      <c r="D76" s="59"/>
      <c r="E76" s="68"/>
      <c r="F76" s="95"/>
      <c r="G76" s="21"/>
    </row>
    <row r="77" spans="2:7" s="32" customFormat="1" ht="15" customHeight="1" x14ac:dyDescent="0.25">
      <c r="B77" s="39"/>
      <c r="D77" s="59"/>
      <c r="E77" s="68"/>
      <c r="F77" s="95"/>
      <c r="G77" s="21"/>
    </row>
    <row r="78" spans="2:7" s="32" customFormat="1" ht="15" customHeight="1" x14ac:dyDescent="0.25">
      <c r="B78" s="39"/>
      <c r="D78" s="59"/>
      <c r="E78" s="68"/>
      <c r="F78" s="95"/>
      <c r="G78" s="21"/>
    </row>
    <row r="79" spans="2:7" s="32" customFormat="1" ht="15" customHeight="1" x14ac:dyDescent="0.25">
      <c r="B79" s="39"/>
      <c r="D79" s="59"/>
      <c r="E79" s="68"/>
      <c r="F79" s="95"/>
      <c r="G79" s="21"/>
    </row>
    <row r="80" spans="2:7" s="32" customFormat="1" ht="15" customHeight="1" x14ac:dyDescent="0.25">
      <c r="B80" s="39"/>
      <c r="D80" s="59"/>
      <c r="E80" s="68"/>
      <c r="F80" s="95"/>
      <c r="G80" s="21"/>
    </row>
    <row r="81" spans="2:7" s="32" customFormat="1" ht="15" customHeight="1" x14ac:dyDescent="0.25">
      <c r="B81" s="39"/>
      <c r="D81" s="59"/>
      <c r="E81" s="68"/>
      <c r="F81" s="95"/>
      <c r="G81" s="21"/>
    </row>
    <row r="82" spans="2:7" s="32" customFormat="1" ht="15" customHeight="1" x14ac:dyDescent="0.25">
      <c r="B82" s="39"/>
      <c r="D82" s="59"/>
      <c r="E82" s="68"/>
      <c r="F82" s="95"/>
      <c r="G82" s="21"/>
    </row>
    <row r="83" spans="2:7" s="32" customFormat="1" ht="15" customHeight="1" x14ac:dyDescent="0.25">
      <c r="B83" s="39"/>
      <c r="D83" s="59"/>
      <c r="E83" s="68"/>
      <c r="F83" s="95"/>
      <c r="G83" s="21"/>
    </row>
    <row r="84" spans="2:7" s="32" customFormat="1" ht="15" customHeight="1" x14ac:dyDescent="0.25">
      <c r="B84" s="39"/>
      <c r="D84" s="59"/>
      <c r="E84" s="68"/>
      <c r="F84" s="95"/>
      <c r="G84" s="21"/>
    </row>
    <row r="85" spans="2:7" s="32" customFormat="1" ht="15" customHeight="1" x14ac:dyDescent="0.25">
      <c r="B85" s="39"/>
      <c r="D85" s="59"/>
      <c r="E85" s="68"/>
      <c r="F85" s="95"/>
      <c r="G85" s="21"/>
    </row>
    <row r="86" spans="2:7" s="32" customFormat="1" ht="15" customHeight="1" x14ac:dyDescent="0.25">
      <c r="B86" s="39"/>
      <c r="D86" s="59"/>
      <c r="E86" s="68"/>
      <c r="F86" s="95"/>
      <c r="G86" s="21"/>
    </row>
    <row r="87" spans="2:7" s="32" customFormat="1" ht="15" customHeight="1" x14ac:dyDescent="0.25">
      <c r="B87" s="39"/>
      <c r="D87" s="59"/>
      <c r="E87" s="68"/>
      <c r="F87" s="95"/>
      <c r="G87" s="21"/>
    </row>
    <row r="88" spans="2:7" s="32" customFormat="1" ht="15" customHeight="1" x14ac:dyDescent="0.25">
      <c r="B88" s="39"/>
      <c r="D88" s="59"/>
      <c r="E88" s="68"/>
      <c r="F88" s="95"/>
      <c r="G88" s="21"/>
    </row>
    <row r="89" spans="2:7" s="32" customFormat="1" ht="15" customHeight="1" x14ac:dyDescent="0.25">
      <c r="B89" s="39"/>
      <c r="D89" s="59"/>
      <c r="E89" s="68"/>
      <c r="F89" s="95"/>
      <c r="G89" s="21"/>
    </row>
    <row r="90" spans="2:7" s="32" customFormat="1" ht="15" customHeight="1" x14ac:dyDescent="0.25">
      <c r="B90" s="39"/>
      <c r="D90" s="59"/>
      <c r="E90" s="68"/>
      <c r="F90" s="95"/>
      <c r="G90" s="21"/>
    </row>
    <row r="91" spans="2:7" s="32" customFormat="1" ht="15" customHeight="1" x14ac:dyDescent="0.25">
      <c r="B91" s="39"/>
      <c r="D91" s="59"/>
      <c r="E91" s="68"/>
      <c r="F91" s="95"/>
      <c r="G91" s="21"/>
    </row>
    <row r="92" spans="2:7" s="32" customFormat="1" ht="15" customHeight="1" x14ac:dyDescent="0.25">
      <c r="B92" s="39"/>
      <c r="D92" s="59"/>
      <c r="E92" s="68"/>
      <c r="F92" s="95"/>
      <c r="G92" s="21"/>
    </row>
    <row r="93" spans="2:7" s="32" customFormat="1" ht="15" customHeight="1" x14ac:dyDescent="0.25">
      <c r="B93" s="39"/>
      <c r="D93" s="59"/>
      <c r="E93" s="68"/>
      <c r="F93" s="95"/>
      <c r="G93" s="21"/>
    </row>
    <row r="94" spans="2:7" s="32" customFormat="1" ht="15" customHeight="1" x14ac:dyDescent="0.25">
      <c r="B94" s="39"/>
      <c r="D94" s="59"/>
      <c r="E94" s="68"/>
      <c r="F94" s="95"/>
      <c r="G94" s="21"/>
    </row>
    <row r="95" spans="2:7" s="32" customFormat="1" ht="15" customHeight="1" x14ac:dyDescent="0.25">
      <c r="B95" s="39"/>
      <c r="D95" s="59"/>
      <c r="E95" s="68"/>
      <c r="F95" s="95"/>
      <c r="G95" s="21"/>
    </row>
    <row r="96" spans="2:7" s="32" customFormat="1" ht="15" customHeight="1" x14ac:dyDescent="0.25">
      <c r="B96" s="39"/>
      <c r="D96" s="59"/>
      <c r="E96" s="68"/>
      <c r="F96" s="95"/>
      <c r="G96" s="21"/>
    </row>
    <row r="97" spans="2:7" s="32" customFormat="1" ht="15" customHeight="1" x14ac:dyDescent="0.25">
      <c r="B97" s="39"/>
      <c r="D97" s="59"/>
      <c r="E97" s="68"/>
      <c r="F97" s="95"/>
      <c r="G97" s="21"/>
    </row>
    <row r="98" spans="2:7" s="32" customFormat="1" ht="15" customHeight="1" x14ac:dyDescent="0.25">
      <c r="B98" s="39"/>
      <c r="D98" s="59"/>
      <c r="E98" s="68"/>
      <c r="F98" s="95"/>
      <c r="G98" s="21"/>
    </row>
    <row r="99" spans="2:7" s="32" customFormat="1" ht="15" customHeight="1" x14ac:dyDescent="0.25">
      <c r="B99" s="39"/>
      <c r="D99" s="59"/>
      <c r="E99" s="68"/>
      <c r="F99" s="95"/>
      <c r="G99" s="21"/>
    </row>
    <row r="100" spans="2:7" s="32" customFormat="1" ht="15" customHeight="1" x14ac:dyDescent="0.25">
      <c r="B100" s="39"/>
      <c r="D100" s="59"/>
      <c r="E100" s="68"/>
      <c r="F100" s="95"/>
      <c r="G100" s="21"/>
    </row>
    <row r="101" spans="2:7" s="32" customFormat="1" ht="15" customHeight="1" x14ac:dyDescent="0.25">
      <c r="B101" s="39"/>
      <c r="D101" s="59"/>
      <c r="E101" s="68"/>
      <c r="F101" s="95"/>
      <c r="G101" s="21"/>
    </row>
    <row r="102" spans="2:7" s="32" customFormat="1" ht="15" customHeight="1" x14ac:dyDescent="0.25">
      <c r="B102" s="39"/>
      <c r="D102" s="59"/>
      <c r="E102" s="68"/>
      <c r="F102" s="95"/>
      <c r="G102" s="21"/>
    </row>
    <row r="103" spans="2:7" s="32" customFormat="1" ht="15" customHeight="1" x14ac:dyDescent="0.25">
      <c r="B103" s="39"/>
      <c r="D103" s="59"/>
      <c r="E103" s="68"/>
      <c r="F103" s="95"/>
      <c r="G103" s="21"/>
    </row>
    <row r="104" spans="2:7" s="32" customFormat="1" ht="15" customHeight="1" x14ac:dyDescent="0.25">
      <c r="B104" s="39"/>
      <c r="D104" s="59"/>
      <c r="E104" s="68"/>
      <c r="F104" s="95"/>
      <c r="G104" s="21"/>
    </row>
    <row r="105" spans="2:7" s="32" customFormat="1" ht="15" customHeight="1" x14ac:dyDescent="0.25">
      <c r="B105" s="39"/>
      <c r="D105" s="59"/>
      <c r="E105" s="68"/>
      <c r="F105" s="95"/>
      <c r="G105" s="21"/>
    </row>
    <row r="106" spans="2:7" s="32" customFormat="1" ht="15" customHeight="1" x14ac:dyDescent="0.25">
      <c r="B106" s="39"/>
      <c r="D106" s="59"/>
      <c r="E106" s="68"/>
      <c r="F106" s="95"/>
      <c r="G106" s="21"/>
    </row>
    <row r="107" spans="2:7" s="32" customFormat="1" ht="15" customHeight="1" x14ac:dyDescent="0.25">
      <c r="B107" s="39"/>
      <c r="D107" s="59"/>
      <c r="E107" s="68"/>
      <c r="F107" s="95"/>
      <c r="G107" s="21"/>
    </row>
    <row r="108" spans="2:7" s="32" customFormat="1" ht="15" customHeight="1" x14ac:dyDescent="0.25">
      <c r="B108" s="39"/>
      <c r="D108" s="59"/>
      <c r="E108" s="68"/>
      <c r="F108" s="95"/>
      <c r="G108" s="21"/>
    </row>
    <row r="109" spans="2:7" s="32" customFormat="1" ht="15" customHeight="1" x14ac:dyDescent="0.25">
      <c r="B109" s="39"/>
      <c r="D109" s="59"/>
      <c r="E109" s="68"/>
      <c r="F109" s="95"/>
      <c r="G109" s="21"/>
    </row>
    <row r="110" spans="2:7" s="32" customFormat="1" ht="15" customHeight="1" x14ac:dyDescent="0.25">
      <c r="B110" s="39"/>
      <c r="D110" s="59"/>
      <c r="E110" s="68"/>
      <c r="F110" s="95"/>
      <c r="G110" s="21"/>
    </row>
    <row r="111" spans="2:7" s="32" customFormat="1" ht="15" customHeight="1" x14ac:dyDescent="0.25">
      <c r="B111" s="39"/>
      <c r="D111" s="59"/>
      <c r="E111" s="68"/>
      <c r="F111" s="95"/>
      <c r="G111" s="21"/>
    </row>
    <row r="112" spans="2:7" s="32" customFormat="1" ht="15" customHeight="1" x14ac:dyDescent="0.25">
      <c r="B112" s="39"/>
      <c r="D112" s="59"/>
      <c r="E112" s="68"/>
      <c r="F112" s="95"/>
      <c r="G112" s="21"/>
    </row>
    <row r="113" spans="2:7" s="32" customFormat="1" ht="15" customHeight="1" x14ac:dyDescent="0.25">
      <c r="B113" s="39"/>
      <c r="D113" s="59"/>
      <c r="E113" s="68"/>
      <c r="F113" s="95"/>
      <c r="G113" s="21"/>
    </row>
    <row r="114" spans="2:7" s="32" customFormat="1" ht="15" customHeight="1" x14ac:dyDescent="0.25">
      <c r="B114" s="39"/>
      <c r="D114" s="59"/>
      <c r="E114" s="68"/>
      <c r="F114" s="95"/>
      <c r="G114" s="21"/>
    </row>
    <row r="115" spans="2:7" s="32" customFormat="1" ht="15" customHeight="1" x14ac:dyDescent="0.25">
      <c r="B115" s="39"/>
      <c r="D115" s="59"/>
      <c r="E115" s="68"/>
      <c r="F115" s="95"/>
      <c r="G115" s="21"/>
    </row>
    <row r="116" spans="2:7" s="32" customFormat="1" ht="15" customHeight="1" x14ac:dyDescent="0.25">
      <c r="B116" s="39"/>
      <c r="D116" s="59"/>
      <c r="E116" s="68"/>
      <c r="F116" s="95"/>
      <c r="G116" s="21"/>
    </row>
    <row r="117" spans="2:7" s="32" customFormat="1" ht="15" customHeight="1" x14ac:dyDescent="0.25">
      <c r="B117" s="39"/>
      <c r="D117" s="59"/>
      <c r="E117" s="68"/>
      <c r="F117" s="95"/>
      <c r="G117" s="21"/>
    </row>
    <row r="118" spans="2:7" s="32" customFormat="1" ht="15" customHeight="1" x14ac:dyDescent="0.25">
      <c r="B118" s="39"/>
      <c r="D118" s="59"/>
      <c r="E118" s="68"/>
      <c r="F118" s="95"/>
      <c r="G118" s="21"/>
    </row>
    <row r="119" spans="2:7" s="32" customFormat="1" ht="15" customHeight="1" x14ac:dyDescent="0.25">
      <c r="B119" s="39"/>
      <c r="D119" s="59"/>
      <c r="E119" s="68"/>
      <c r="F119" s="95"/>
      <c r="G119" s="21"/>
    </row>
    <row r="120" spans="2:7" s="32" customFormat="1" ht="15" customHeight="1" x14ac:dyDescent="0.25">
      <c r="B120" s="39"/>
      <c r="D120" s="59"/>
      <c r="E120" s="68"/>
      <c r="F120" s="95"/>
      <c r="G120" s="21"/>
    </row>
    <row r="121" spans="2:7" s="32" customFormat="1" ht="15" customHeight="1" x14ac:dyDescent="0.25">
      <c r="B121" s="39"/>
      <c r="D121" s="59"/>
      <c r="E121" s="68"/>
      <c r="F121" s="95"/>
      <c r="G121" s="21"/>
    </row>
    <row r="122" spans="2:7" s="32" customFormat="1" ht="15" customHeight="1" x14ac:dyDescent="0.25">
      <c r="B122" s="39"/>
      <c r="D122" s="59"/>
      <c r="E122" s="68"/>
      <c r="F122" s="95"/>
      <c r="G122" s="21"/>
    </row>
    <row r="123" spans="2:7" s="32" customFormat="1" ht="15" customHeight="1" x14ac:dyDescent="0.25">
      <c r="B123" s="39"/>
      <c r="D123" s="59"/>
      <c r="E123" s="68"/>
      <c r="F123" s="95"/>
      <c r="G123" s="21"/>
    </row>
    <row r="124" spans="2:7" s="32" customFormat="1" ht="15" customHeight="1" x14ac:dyDescent="0.25">
      <c r="B124" s="39"/>
      <c r="D124" s="59"/>
      <c r="E124" s="68"/>
      <c r="F124" s="95"/>
      <c r="G124" s="21"/>
    </row>
    <row r="125" spans="2:7" s="32" customFormat="1" ht="15" customHeight="1" x14ac:dyDescent="0.25">
      <c r="B125" s="39"/>
      <c r="D125" s="59"/>
      <c r="E125" s="68"/>
      <c r="F125" s="95"/>
      <c r="G125" s="21"/>
    </row>
    <row r="126" spans="2:7" s="32" customFormat="1" ht="15" customHeight="1" x14ac:dyDescent="0.25">
      <c r="B126" s="39"/>
      <c r="D126" s="59"/>
      <c r="E126" s="68"/>
      <c r="F126" s="95"/>
      <c r="G126" s="21"/>
    </row>
    <row r="127" spans="2:7" s="32" customFormat="1" ht="15" customHeight="1" x14ac:dyDescent="0.25">
      <c r="B127" s="39"/>
      <c r="D127" s="59"/>
      <c r="E127" s="68"/>
      <c r="F127" s="95"/>
      <c r="G127" s="21"/>
    </row>
    <row r="128" spans="2:7" s="32" customFormat="1" ht="15" customHeight="1" x14ac:dyDescent="0.25">
      <c r="B128" s="39"/>
      <c r="D128" s="59"/>
      <c r="E128" s="68"/>
      <c r="F128" s="95"/>
      <c r="G128" s="21"/>
    </row>
    <row r="129" spans="2:7" s="32" customFormat="1" ht="15" customHeight="1" x14ac:dyDescent="0.25">
      <c r="B129" s="39"/>
      <c r="D129" s="59"/>
      <c r="E129" s="68"/>
      <c r="F129" s="95"/>
      <c r="G129" s="21"/>
    </row>
    <row r="130" spans="2:7" s="32" customFormat="1" ht="15" customHeight="1" x14ac:dyDescent="0.25">
      <c r="B130" s="39"/>
      <c r="D130" s="59"/>
      <c r="E130" s="68"/>
      <c r="F130" s="95"/>
      <c r="G130" s="21"/>
    </row>
    <row r="131" spans="2:7" s="32" customFormat="1" ht="15" customHeight="1" x14ac:dyDescent="0.25">
      <c r="B131" s="39"/>
      <c r="D131" s="59"/>
      <c r="E131" s="68"/>
      <c r="F131" s="95"/>
      <c r="G131" s="21"/>
    </row>
    <row r="132" spans="2:7" s="32" customFormat="1" ht="15" customHeight="1" x14ac:dyDescent="0.25">
      <c r="B132" s="39"/>
      <c r="D132" s="59"/>
      <c r="E132" s="68"/>
      <c r="F132" s="95"/>
      <c r="G132" s="21"/>
    </row>
    <row r="133" spans="2:7" s="32" customFormat="1" ht="15" customHeight="1" x14ac:dyDescent="0.25">
      <c r="B133" s="39"/>
      <c r="D133" s="59"/>
      <c r="E133" s="68"/>
      <c r="F133" s="95"/>
      <c r="G133" s="21"/>
    </row>
    <row r="134" spans="2:7" s="32" customFormat="1" ht="15" customHeight="1" x14ac:dyDescent="0.25">
      <c r="B134" s="39"/>
      <c r="D134" s="59"/>
      <c r="E134" s="68"/>
      <c r="F134" s="95"/>
      <c r="G134" s="21"/>
    </row>
    <row r="135" spans="2:7" s="32" customFormat="1" ht="15" customHeight="1" x14ac:dyDescent="0.25">
      <c r="B135" s="39"/>
      <c r="D135" s="59"/>
      <c r="E135" s="68"/>
      <c r="F135" s="95"/>
      <c r="G135" s="21"/>
    </row>
    <row r="136" spans="2:7" s="32" customFormat="1" ht="15" customHeight="1" x14ac:dyDescent="0.25">
      <c r="B136" s="39"/>
      <c r="D136" s="59"/>
      <c r="E136" s="68"/>
      <c r="F136" s="95"/>
      <c r="G136" s="21"/>
    </row>
    <row r="137" spans="2:7" s="32" customFormat="1" ht="15" customHeight="1" x14ac:dyDescent="0.25">
      <c r="B137" s="39"/>
      <c r="D137" s="59"/>
      <c r="E137" s="68"/>
      <c r="F137" s="95"/>
      <c r="G137" s="21"/>
    </row>
    <row r="138" spans="2:7" s="32" customFormat="1" ht="15" customHeight="1" x14ac:dyDescent="0.25">
      <c r="B138" s="39"/>
      <c r="D138" s="59"/>
      <c r="E138" s="68"/>
      <c r="F138" s="95"/>
      <c r="G138" s="21"/>
    </row>
    <row r="139" spans="2:7" s="32" customFormat="1" ht="15" customHeight="1" x14ac:dyDescent="0.25">
      <c r="B139" s="39"/>
      <c r="D139" s="59"/>
      <c r="E139" s="68"/>
      <c r="F139" s="95"/>
      <c r="G139" s="21"/>
    </row>
    <row r="140" spans="2:7" s="32" customFormat="1" ht="15" customHeight="1" x14ac:dyDescent="0.25">
      <c r="B140" s="39"/>
      <c r="D140" s="59"/>
      <c r="E140" s="68"/>
      <c r="F140" s="95"/>
      <c r="G140" s="21"/>
    </row>
    <row r="141" spans="2:7" s="32" customFormat="1" ht="15" customHeight="1" x14ac:dyDescent="0.25">
      <c r="B141" s="39"/>
      <c r="D141" s="59"/>
      <c r="E141" s="68"/>
      <c r="F141" s="95"/>
      <c r="G141" s="21"/>
    </row>
    <row r="142" spans="2:7" s="32" customFormat="1" ht="15" customHeight="1" x14ac:dyDescent="0.25">
      <c r="B142" s="39"/>
      <c r="D142" s="59"/>
      <c r="E142" s="68"/>
      <c r="F142" s="95"/>
      <c r="G142" s="21"/>
    </row>
    <row r="143" spans="2:7" s="32" customFormat="1" ht="15" customHeight="1" x14ac:dyDescent="0.25">
      <c r="B143" s="39"/>
      <c r="D143" s="59"/>
      <c r="E143" s="68"/>
      <c r="F143" s="95"/>
      <c r="G143" s="21"/>
    </row>
    <row r="144" spans="2:7" s="32" customFormat="1" ht="15" customHeight="1" x14ac:dyDescent="0.25">
      <c r="B144" s="39"/>
      <c r="D144" s="59"/>
      <c r="E144" s="68"/>
      <c r="F144" s="95"/>
      <c r="G144" s="21"/>
    </row>
    <row r="145" spans="2:7" s="32" customFormat="1" ht="15" customHeight="1" x14ac:dyDescent="0.25">
      <c r="B145" s="39"/>
      <c r="D145" s="59"/>
      <c r="E145" s="68"/>
      <c r="F145" s="95"/>
      <c r="G145" s="21"/>
    </row>
    <row r="146" spans="2:7" s="32" customFormat="1" ht="15" customHeight="1" x14ac:dyDescent="0.25">
      <c r="B146" s="39"/>
      <c r="D146" s="59"/>
      <c r="E146" s="68"/>
      <c r="F146" s="95"/>
      <c r="G146" s="21"/>
    </row>
    <row r="147" spans="2:7" s="32" customFormat="1" ht="15" customHeight="1" x14ac:dyDescent="0.25">
      <c r="B147" s="39"/>
      <c r="D147" s="59"/>
      <c r="E147" s="68"/>
      <c r="F147" s="95"/>
      <c r="G147" s="21"/>
    </row>
    <row r="148" spans="2:7" s="32" customFormat="1" ht="15" customHeight="1" x14ac:dyDescent="0.25">
      <c r="B148" s="39"/>
      <c r="D148" s="59"/>
      <c r="E148" s="68"/>
      <c r="F148" s="95"/>
      <c r="G148" s="21"/>
    </row>
    <row r="149" spans="2:7" s="32" customFormat="1" ht="15" customHeight="1" x14ac:dyDescent="0.25">
      <c r="B149" s="39"/>
      <c r="D149" s="59"/>
      <c r="E149" s="68"/>
      <c r="F149" s="95"/>
      <c r="G149" s="21"/>
    </row>
    <row r="150" spans="2:7" s="32" customFormat="1" ht="15" customHeight="1" x14ac:dyDescent="0.25">
      <c r="B150" s="39"/>
      <c r="D150" s="59"/>
      <c r="E150" s="68"/>
      <c r="F150" s="95"/>
      <c r="G150" s="21"/>
    </row>
    <row r="151" spans="2:7" s="32" customFormat="1" ht="15" customHeight="1" x14ac:dyDescent="0.25">
      <c r="B151" s="39"/>
      <c r="D151" s="59"/>
      <c r="E151" s="68"/>
      <c r="F151" s="95"/>
      <c r="G151" s="21"/>
    </row>
    <row r="152" spans="2:7" s="32" customFormat="1" ht="15" customHeight="1" x14ac:dyDescent="0.25">
      <c r="B152" s="39"/>
      <c r="D152" s="59"/>
      <c r="E152" s="68"/>
      <c r="F152" s="95"/>
      <c r="G152" s="21"/>
    </row>
    <row r="153" spans="2:7" s="32" customFormat="1" ht="15" customHeight="1" x14ac:dyDescent="0.25">
      <c r="B153" s="39"/>
      <c r="D153" s="59"/>
      <c r="E153" s="68"/>
      <c r="F153" s="95"/>
      <c r="G153" s="21"/>
    </row>
    <row r="154" spans="2:7" s="32" customFormat="1" ht="15" customHeight="1" x14ac:dyDescent="0.25">
      <c r="B154" s="39"/>
      <c r="D154" s="59"/>
      <c r="E154" s="68"/>
      <c r="F154" s="95"/>
      <c r="G154" s="21"/>
    </row>
    <row r="155" spans="2:7" s="32" customFormat="1" ht="15" customHeight="1" x14ac:dyDescent="0.25">
      <c r="B155" s="39"/>
      <c r="D155" s="59"/>
      <c r="E155" s="68"/>
      <c r="F155" s="95"/>
      <c r="G155" s="21"/>
    </row>
    <row r="156" spans="2:7" s="32" customFormat="1" ht="15" customHeight="1" x14ac:dyDescent="0.25">
      <c r="B156" s="39"/>
      <c r="D156" s="59"/>
      <c r="E156" s="68"/>
      <c r="F156" s="95"/>
      <c r="G156" s="21"/>
    </row>
    <row r="157" spans="2:7" s="32" customFormat="1" ht="15" customHeight="1" x14ac:dyDescent="0.25">
      <c r="B157" s="39"/>
      <c r="D157" s="59"/>
      <c r="E157" s="68"/>
      <c r="F157" s="95"/>
      <c r="G157" s="21"/>
    </row>
    <row r="158" spans="2:7" s="32" customFormat="1" ht="15" customHeight="1" x14ac:dyDescent="0.25">
      <c r="B158" s="39"/>
      <c r="D158" s="59"/>
      <c r="E158" s="68"/>
      <c r="F158" s="95"/>
      <c r="G158" s="21"/>
    </row>
    <row r="159" spans="2:7" s="32" customFormat="1" ht="15" customHeight="1" x14ac:dyDescent="0.25">
      <c r="B159" s="39"/>
      <c r="D159" s="59"/>
      <c r="E159" s="68"/>
      <c r="F159" s="95"/>
      <c r="G159" s="21"/>
    </row>
    <row r="160" spans="2:7" s="32" customFormat="1" ht="15" customHeight="1" x14ac:dyDescent="0.25">
      <c r="B160" s="39"/>
      <c r="D160" s="59"/>
      <c r="E160" s="68"/>
      <c r="F160" s="95"/>
      <c r="G160" s="21"/>
    </row>
    <row r="161" spans="2:7" s="32" customFormat="1" ht="15" customHeight="1" x14ac:dyDescent="0.25">
      <c r="B161" s="39"/>
      <c r="D161" s="59"/>
      <c r="E161" s="68"/>
      <c r="F161" s="95"/>
      <c r="G161" s="21"/>
    </row>
    <row r="162" spans="2:7" s="32" customFormat="1" ht="15" customHeight="1" x14ac:dyDescent="0.25">
      <c r="B162" s="39"/>
      <c r="D162" s="59"/>
      <c r="E162" s="68"/>
      <c r="F162" s="95"/>
      <c r="G162" s="21"/>
    </row>
    <row r="163" spans="2:7" s="32" customFormat="1" ht="15" customHeight="1" x14ac:dyDescent="0.25">
      <c r="B163" s="39"/>
      <c r="D163" s="59"/>
      <c r="E163" s="68"/>
      <c r="F163" s="95"/>
      <c r="G163" s="21"/>
    </row>
    <row r="164" spans="2:7" s="32" customFormat="1" ht="15" customHeight="1" x14ac:dyDescent="0.25">
      <c r="B164" s="39"/>
      <c r="D164" s="59"/>
      <c r="E164" s="68"/>
      <c r="F164" s="95"/>
      <c r="G164" s="21"/>
    </row>
    <row r="165" spans="2:7" s="32" customFormat="1" ht="15" customHeight="1" x14ac:dyDescent="0.25">
      <c r="B165" s="39"/>
      <c r="D165" s="59"/>
      <c r="E165" s="68"/>
      <c r="F165" s="95"/>
      <c r="G165" s="21"/>
    </row>
    <row r="166" spans="2:7" s="32" customFormat="1" ht="15" customHeight="1" x14ac:dyDescent="0.25">
      <c r="B166" s="39"/>
      <c r="D166" s="59"/>
      <c r="E166" s="68"/>
      <c r="F166" s="95"/>
      <c r="G166" s="21"/>
    </row>
    <row r="167" spans="2:7" s="32" customFormat="1" ht="15" customHeight="1" x14ac:dyDescent="0.25">
      <c r="B167" s="39"/>
      <c r="D167" s="59"/>
      <c r="E167" s="68"/>
      <c r="F167" s="95"/>
      <c r="G167" s="21"/>
    </row>
    <row r="168" spans="2:7" s="32" customFormat="1" ht="15" customHeight="1" x14ac:dyDescent="0.25">
      <c r="B168" s="39"/>
      <c r="D168" s="59"/>
      <c r="E168" s="68"/>
      <c r="F168" s="95"/>
      <c r="G168" s="21"/>
    </row>
    <row r="169" spans="2:7" s="32" customFormat="1" ht="15" customHeight="1" x14ac:dyDescent="0.25">
      <c r="B169" s="39"/>
      <c r="D169" s="59"/>
      <c r="E169" s="68"/>
      <c r="F169" s="95"/>
      <c r="G169" s="21"/>
    </row>
    <row r="170" spans="2:7" s="32" customFormat="1" ht="15" customHeight="1" x14ac:dyDescent="0.25">
      <c r="B170" s="39"/>
      <c r="D170" s="59"/>
      <c r="E170" s="68"/>
      <c r="F170" s="95"/>
      <c r="G170" s="21"/>
    </row>
    <row r="171" spans="2:7" s="32" customFormat="1" ht="15" customHeight="1" x14ac:dyDescent="0.25">
      <c r="B171" s="39"/>
      <c r="D171" s="59"/>
      <c r="E171" s="68"/>
      <c r="F171" s="95"/>
      <c r="G171" s="21"/>
    </row>
    <row r="172" spans="2:7" s="32" customFormat="1" ht="15" customHeight="1" x14ac:dyDescent="0.25">
      <c r="B172" s="39"/>
      <c r="D172" s="59"/>
      <c r="E172" s="68"/>
      <c r="F172" s="95"/>
      <c r="G172" s="21"/>
    </row>
    <row r="173" spans="2:7" s="32" customFormat="1" ht="15" customHeight="1" x14ac:dyDescent="0.25">
      <c r="B173" s="39"/>
      <c r="D173" s="59"/>
      <c r="E173" s="68"/>
      <c r="F173" s="95"/>
      <c r="G173" s="21"/>
    </row>
    <row r="174" spans="2:7" s="32" customFormat="1" ht="15" customHeight="1" x14ac:dyDescent="0.25">
      <c r="B174" s="39"/>
      <c r="D174" s="59"/>
      <c r="E174" s="68"/>
      <c r="F174" s="95"/>
      <c r="G174" s="21"/>
    </row>
    <row r="175" spans="2:7" s="32" customFormat="1" ht="15" customHeight="1" x14ac:dyDescent="0.25">
      <c r="B175" s="39"/>
      <c r="D175" s="59"/>
      <c r="E175" s="68"/>
      <c r="F175" s="95"/>
      <c r="G175" s="21"/>
    </row>
    <row r="176" spans="2:7" s="32" customFormat="1" ht="15" customHeight="1" x14ac:dyDescent="0.25">
      <c r="B176" s="39"/>
      <c r="D176" s="59"/>
      <c r="E176" s="68"/>
      <c r="F176" s="95"/>
      <c r="G176" s="21"/>
    </row>
    <row r="177" spans="2:7" s="32" customFormat="1" ht="15" customHeight="1" x14ac:dyDescent="0.25">
      <c r="B177" s="39"/>
      <c r="D177" s="59"/>
      <c r="E177" s="68"/>
      <c r="F177" s="95"/>
      <c r="G177" s="21"/>
    </row>
    <row r="178" spans="2:7" s="32" customFormat="1" ht="15" customHeight="1" x14ac:dyDescent="0.25">
      <c r="B178" s="39"/>
      <c r="D178" s="59"/>
      <c r="E178" s="68"/>
      <c r="F178" s="95"/>
      <c r="G178" s="21"/>
    </row>
    <row r="179" spans="2:7" s="32" customFormat="1" ht="15" customHeight="1" x14ac:dyDescent="0.25">
      <c r="B179" s="39"/>
      <c r="D179" s="59"/>
      <c r="E179" s="68"/>
      <c r="F179" s="95"/>
      <c r="G179" s="21"/>
    </row>
    <row r="180" spans="2:7" s="32" customFormat="1" ht="15" customHeight="1" x14ac:dyDescent="0.25">
      <c r="B180" s="39"/>
      <c r="D180" s="59"/>
      <c r="E180" s="68"/>
      <c r="F180" s="95"/>
      <c r="G180" s="21"/>
    </row>
    <row r="181" spans="2:7" s="32" customFormat="1" ht="15" customHeight="1" x14ac:dyDescent="0.25">
      <c r="B181" s="39"/>
      <c r="D181" s="59"/>
      <c r="E181" s="68"/>
      <c r="F181" s="95"/>
      <c r="G181" s="21"/>
    </row>
    <row r="182" spans="2:7" s="32" customFormat="1" ht="15" customHeight="1" x14ac:dyDescent="0.25">
      <c r="B182" s="39"/>
      <c r="D182" s="59"/>
      <c r="E182" s="68"/>
      <c r="F182" s="95"/>
      <c r="G182" s="21"/>
    </row>
    <row r="183" spans="2:7" s="32" customFormat="1" ht="15" customHeight="1" x14ac:dyDescent="0.25">
      <c r="B183" s="39"/>
      <c r="D183" s="59"/>
      <c r="E183" s="68"/>
      <c r="F183" s="95"/>
      <c r="G183" s="21"/>
    </row>
    <row r="184" spans="2:7" s="32" customFormat="1" ht="15" customHeight="1" x14ac:dyDescent="0.25">
      <c r="B184" s="39"/>
      <c r="D184" s="59"/>
      <c r="E184" s="68"/>
      <c r="F184" s="95"/>
      <c r="G184" s="21"/>
    </row>
    <row r="185" spans="2:7" s="32" customFormat="1" ht="15" customHeight="1" x14ac:dyDescent="0.25">
      <c r="B185" s="39"/>
      <c r="D185" s="59"/>
      <c r="E185" s="68"/>
      <c r="F185" s="95"/>
      <c r="G185" s="21"/>
    </row>
    <row r="186" spans="2:7" s="32" customFormat="1" ht="15" customHeight="1" x14ac:dyDescent="0.25">
      <c r="B186" s="39"/>
      <c r="D186" s="59"/>
      <c r="E186" s="68"/>
      <c r="F186" s="95"/>
      <c r="G186" s="21"/>
    </row>
    <row r="187" spans="2:7" s="32" customFormat="1" ht="15" customHeight="1" x14ac:dyDescent="0.25">
      <c r="B187" s="39"/>
      <c r="D187" s="59"/>
      <c r="E187" s="68"/>
      <c r="F187" s="95"/>
      <c r="G187" s="21"/>
    </row>
    <row r="188" spans="2:7" s="32" customFormat="1" ht="15" customHeight="1" x14ac:dyDescent="0.25">
      <c r="B188" s="39"/>
      <c r="D188" s="59"/>
      <c r="E188" s="68"/>
      <c r="F188" s="95"/>
      <c r="G188" s="21"/>
    </row>
    <row r="189" spans="2:7" s="32" customFormat="1" ht="15" customHeight="1" x14ac:dyDescent="0.25">
      <c r="B189" s="39"/>
      <c r="D189" s="59"/>
      <c r="E189" s="68"/>
      <c r="F189" s="95"/>
      <c r="G189" s="21"/>
    </row>
    <row r="190" spans="2:7" s="32" customFormat="1" ht="15" customHeight="1" x14ac:dyDescent="0.25">
      <c r="B190" s="39"/>
      <c r="D190" s="59"/>
      <c r="E190" s="68"/>
      <c r="F190" s="95"/>
      <c r="G190" s="21"/>
    </row>
    <row r="191" spans="2:7" s="32" customFormat="1" ht="15" customHeight="1" x14ac:dyDescent="0.25">
      <c r="B191" s="39"/>
      <c r="D191" s="59"/>
      <c r="E191" s="68"/>
      <c r="F191" s="95"/>
      <c r="G191" s="21"/>
    </row>
    <row r="192" spans="2:7" s="32" customFormat="1" ht="15" customHeight="1" x14ac:dyDescent="0.25">
      <c r="B192" s="39"/>
      <c r="D192" s="59"/>
      <c r="E192" s="68"/>
      <c r="F192" s="95"/>
      <c r="G192" s="21"/>
    </row>
    <row r="193" spans="2:7" s="32" customFormat="1" ht="15" customHeight="1" x14ac:dyDescent="0.25">
      <c r="B193" s="39"/>
      <c r="D193" s="59"/>
      <c r="E193" s="68"/>
      <c r="F193" s="95"/>
      <c r="G193" s="21"/>
    </row>
    <row r="194" spans="2:7" s="32" customFormat="1" ht="15" customHeight="1" x14ac:dyDescent="0.25">
      <c r="B194" s="39"/>
      <c r="D194" s="59"/>
      <c r="E194" s="68"/>
      <c r="F194" s="95"/>
      <c r="G194" s="21"/>
    </row>
    <row r="195" spans="2:7" s="32" customFormat="1" ht="15" customHeight="1" x14ac:dyDescent="0.25">
      <c r="B195" s="39"/>
      <c r="D195" s="59"/>
      <c r="E195" s="68"/>
      <c r="F195" s="95"/>
      <c r="G195" s="21"/>
    </row>
    <row r="196" spans="2:7" s="32" customFormat="1" ht="15" customHeight="1" x14ac:dyDescent="0.25">
      <c r="B196" s="39"/>
      <c r="D196" s="59"/>
      <c r="E196" s="68"/>
      <c r="F196" s="95"/>
      <c r="G196" s="21"/>
    </row>
    <row r="197" spans="2:7" s="32" customFormat="1" ht="15" customHeight="1" x14ac:dyDescent="0.25">
      <c r="B197" s="39"/>
      <c r="D197" s="59"/>
      <c r="E197" s="68"/>
      <c r="F197" s="95"/>
      <c r="G197" s="21"/>
    </row>
    <row r="198" spans="2:7" s="32" customFormat="1" ht="15" customHeight="1" x14ac:dyDescent="0.25">
      <c r="B198" s="39"/>
      <c r="D198" s="59"/>
      <c r="E198" s="68"/>
      <c r="F198" s="95"/>
      <c r="G198" s="21"/>
    </row>
    <row r="199" spans="2:7" s="32" customFormat="1" ht="15" customHeight="1" x14ac:dyDescent="0.25">
      <c r="B199" s="39"/>
      <c r="D199" s="59"/>
      <c r="E199" s="68"/>
      <c r="F199" s="95"/>
      <c r="G199" s="21"/>
    </row>
    <row r="200" spans="2:7" s="32" customFormat="1" ht="15" customHeight="1" x14ac:dyDescent="0.25">
      <c r="B200" s="39"/>
      <c r="D200" s="59"/>
      <c r="E200" s="68"/>
      <c r="F200" s="95"/>
      <c r="G200" s="21"/>
    </row>
    <row r="201" spans="2:7" s="32" customFormat="1" ht="15" customHeight="1" x14ac:dyDescent="0.25">
      <c r="B201" s="39"/>
      <c r="D201" s="59"/>
      <c r="E201" s="68"/>
      <c r="F201" s="95"/>
      <c r="G201" s="21"/>
    </row>
    <row r="202" spans="2:7" s="32" customFormat="1" ht="15" customHeight="1" x14ac:dyDescent="0.25">
      <c r="B202" s="39"/>
      <c r="D202" s="59"/>
      <c r="E202" s="68"/>
      <c r="F202" s="95"/>
      <c r="G202" s="21"/>
    </row>
    <row r="203" spans="2:7" s="32" customFormat="1" ht="15" customHeight="1" x14ac:dyDescent="0.25">
      <c r="B203" s="39"/>
      <c r="D203" s="59"/>
      <c r="E203" s="68"/>
      <c r="F203" s="95"/>
      <c r="G203" s="21"/>
    </row>
    <row r="204" spans="2:7" s="32" customFormat="1" ht="15" customHeight="1" x14ac:dyDescent="0.25">
      <c r="B204" s="39"/>
      <c r="D204" s="59"/>
      <c r="E204" s="68"/>
      <c r="F204" s="95"/>
      <c r="G204" s="21"/>
    </row>
    <row r="205" spans="2:7" s="32" customFormat="1" ht="15" customHeight="1" x14ac:dyDescent="0.25">
      <c r="B205" s="39"/>
      <c r="D205" s="59"/>
      <c r="E205" s="68"/>
      <c r="F205" s="95"/>
      <c r="G205" s="21"/>
    </row>
    <row r="206" spans="2:7" s="32" customFormat="1" ht="15" customHeight="1" x14ac:dyDescent="0.25">
      <c r="B206" s="39"/>
      <c r="D206" s="59"/>
      <c r="E206" s="68"/>
      <c r="F206" s="95"/>
      <c r="G206" s="21"/>
    </row>
    <row r="207" spans="2:7" s="32" customFormat="1" ht="15" customHeight="1" x14ac:dyDescent="0.25">
      <c r="B207" s="39"/>
      <c r="D207" s="59"/>
      <c r="E207" s="68"/>
      <c r="F207" s="95"/>
      <c r="G207" s="21"/>
    </row>
    <row r="208" spans="2:7" s="32" customFormat="1" ht="15" customHeight="1" x14ac:dyDescent="0.25">
      <c r="B208" s="39"/>
      <c r="D208" s="59"/>
      <c r="E208" s="68"/>
      <c r="F208" s="95"/>
      <c r="G208" s="21"/>
    </row>
    <row r="209" spans="2:7" s="32" customFormat="1" ht="15" customHeight="1" x14ac:dyDescent="0.25">
      <c r="B209" s="39"/>
      <c r="D209" s="59"/>
      <c r="E209" s="68"/>
      <c r="F209" s="95"/>
      <c r="G209" s="21"/>
    </row>
    <row r="210" spans="2:7" s="32" customFormat="1" ht="15" customHeight="1" x14ac:dyDescent="0.25">
      <c r="B210" s="39"/>
      <c r="D210" s="59"/>
      <c r="E210" s="68"/>
      <c r="F210" s="95"/>
      <c r="G210" s="21"/>
    </row>
    <row r="211" spans="2:7" s="32" customFormat="1" ht="15" customHeight="1" x14ac:dyDescent="0.25">
      <c r="B211" s="39"/>
      <c r="D211" s="59"/>
      <c r="E211" s="68"/>
      <c r="F211" s="95"/>
      <c r="G211" s="21"/>
    </row>
    <row r="212" spans="2:7" s="32" customFormat="1" ht="15" customHeight="1" x14ac:dyDescent="0.25">
      <c r="B212" s="39"/>
      <c r="D212" s="59"/>
      <c r="E212" s="68"/>
      <c r="F212" s="95"/>
      <c r="G212" s="21"/>
    </row>
    <row r="213" spans="2:7" s="32" customFormat="1" ht="15" customHeight="1" x14ac:dyDescent="0.25">
      <c r="B213" s="39"/>
      <c r="D213" s="59"/>
      <c r="E213" s="68"/>
      <c r="F213" s="95"/>
      <c r="G213" s="21"/>
    </row>
    <row r="214" spans="2:7" s="32" customFormat="1" ht="15" customHeight="1" x14ac:dyDescent="0.25">
      <c r="B214" s="39"/>
      <c r="D214" s="59"/>
      <c r="E214" s="68"/>
      <c r="F214" s="95"/>
      <c r="G214" s="21"/>
    </row>
    <row r="215" spans="2:7" s="32" customFormat="1" ht="15" customHeight="1" x14ac:dyDescent="0.25">
      <c r="B215" s="39"/>
      <c r="D215" s="59"/>
      <c r="E215" s="68"/>
      <c r="F215" s="95"/>
      <c r="G215" s="21"/>
    </row>
    <row r="216" spans="2:7" s="32" customFormat="1" ht="15" customHeight="1" x14ac:dyDescent="0.25">
      <c r="B216" s="39"/>
      <c r="D216" s="59"/>
      <c r="E216" s="68"/>
      <c r="F216" s="95"/>
      <c r="G216" s="21"/>
    </row>
    <row r="217" spans="2:7" s="32" customFormat="1" ht="15" customHeight="1" x14ac:dyDescent="0.25">
      <c r="B217" s="39"/>
      <c r="D217" s="59"/>
      <c r="E217" s="68"/>
      <c r="F217" s="95"/>
      <c r="G217" s="21"/>
    </row>
    <row r="218" spans="2:7" s="32" customFormat="1" ht="15" customHeight="1" x14ac:dyDescent="0.25">
      <c r="B218" s="39"/>
      <c r="D218" s="59"/>
      <c r="E218" s="68"/>
      <c r="F218" s="95"/>
      <c r="G218" s="21"/>
    </row>
    <row r="219" spans="2:7" s="32" customFormat="1" ht="15" customHeight="1" x14ac:dyDescent="0.25">
      <c r="B219" s="39"/>
      <c r="D219" s="59"/>
      <c r="E219" s="68"/>
      <c r="F219" s="95"/>
      <c r="G219" s="21"/>
    </row>
    <row r="220" spans="2:7" s="32" customFormat="1" ht="15" customHeight="1" x14ac:dyDescent="0.25">
      <c r="B220" s="39"/>
      <c r="D220" s="59"/>
      <c r="E220" s="68"/>
      <c r="F220" s="95"/>
      <c r="G220" s="21"/>
    </row>
    <row r="221" spans="2:7" s="32" customFormat="1" ht="15" customHeight="1" x14ac:dyDescent="0.25">
      <c r="B221" s="39"/>
      <c r="D221" s="59"/>
      <c r="E221" s="68"/>
      <c r="F221" s="95"/>
      <c r="G221" s="21"/>
    </row>
    <row r="222" spans="2:7" s="32" customFormat="1" ht="15" customHeight="1" x14ac:dyDescent="0.25">
      <c r="B222" s="39"/>
      <c r="D222" s="59"/>
      <c r="E222" s="68"/>
      <c r="F222" s="95"/>
      <c r="G222" s="21"/>
    </row>
    <row r="223" spans="2:7" s="32" customFormat="1" ht="15" customHeight="1" x14ac:dyDescent="0.25">
      <c r="B223" s="39"/>
      <c r="D223" s="59"/>
      <c r="E223" s="68"/>
      <c r="F223" s="95"/>
      <c r="G223" s="21"/>
    </row>
    <row r="224" spans="2:7" s="32" customFormat="1" ht="15" customHeight="1" x14ac:dyDescent="0.25">
      <c r="B224" s="39"/>
      <c r="D224" s="59"/>
      <c r="E224" s="68"/>
      <c r="F224" s="95"/>
      <c r="G224" s="21"/>
    </row>
    <row r="225" spans="2:7" s="32" customFormat="1" ht="15" customHeight="1" x14ac:dyDescent="0.25">
      <c r="B225" s="39"/>
      <c r="D225" s="59"/>
      <c r="E225" s="68"/>
      <c r="F225" s="95"/>
      <c r="G225" s="21"/>
    </row>
    <row r="226" spans="2:7" s="32" customFormat="1" ht="15" customHeight="1" x14ac:dyDescent="0.25">
      <c r="B226" s="39"/>
      <c r="D226" s="59"/>
      <c r="E226" s="68"/>
      <c r="F226" s="95"/>
      <c r="G226" s="21"/>
    </row>
    <row r="227" spans="2:7" s="32" customFormat="1" ht="15" customHeight="1" x14ac:dyDescent="0.25">
      <c r="B227" s="39"/>
      <c r="D227" s="59"/>
      <c r="E227" s="68"/>
      <c r="F227" s="95"/>
      <c r="G227" s="21"/>
    </row>
    <row r="228" spans="2:7" s="32" customFormat="1" ht="15" customHeight="1" x14ac:dyDescent="0.25">
      <c r="B228" s="39"/>
      <c r="D228" s="59"/>
      <c r="E228" s="68"/>
      <c r="F228" s="95"/>
      <c r="G228" s="21"/>
    </row>
    <row r="229" spans="2:7" s="32" customFormat="1" ht="15" customHeight="1" x14ac:dyDescent="0.25">
      <c r="B229" s="39"/>
      <c r="D229" s="59"/>
      <c r="E229" s="68"/>
      <c r="F229" s="95"/>
      <c r="G229" s="21"/>
    </row>
    <row r="230" spans="2:7" s="32" customFormat="1" ht="15" customHeight="1" x14ac:dyDescent="0.25">
      <c r="B230" s="39"/>
      <c r="D230" s="59"/>
      <c r="E230" s="68"/>
      <c r="F230" s="95"/>
      <c r="G230" s="21"/>
    </row>
    <row r="231" spans="2:7" s="32" customFormat="1" ht="15" customHeight="1" x14ac:dyDescent="0.25">
      <c r="B231" s="39"/>
      <c r="D231" s="59"/>
      <c r="E231" s="68"/>
      <c r="F231" s="95"/>
      <c r="G231" s="21"/>
    </row>
    <row r="232" spans="2:7" s="32" customFormat="1" ht="15" customHeight="1" x14ac:dyDescent="0.25">
      <c r="B232" s="39"/>
      <c r="D232" s="59"/>
      <c r="E232" s="68"/>
      <c r="F232" s="95"/>
      <c r="G232" s="21"/>
    </row>
    <row r="233" spans="2:7" s="32" customFormat="1" ht="15" customHeight="1" x14ac:dyDescent="0.25">
      <c r="B233" s="39"/>
      <c r="D233" s="59"/>
      <c r="E233" s="68"/>
      <c r="F233" s="95"/>
      <c r="G233" s="21"/>
    </row>
    <row r="234" spans="2:7" s="32" customFormat="1" ht="15" customHeight="1" x14ac:dyDescent="0.25">
      <c r="B234" s="39"/>
      <c r="D234" s="59"/>
      <c r="E234" s="68"/>
      <c r="F234" s="95"/>
      <c r="G234" s="21"/>
    </row>
    <row r="235" spans="2:7" s="32" customFormat="1" ht="15" customHeight="1" x14ac:dyDescent="0.25">
      <c r="B235" s="39"/>
      <c r="D235" s="59"/>
      <c r="E235" s="68"/>
      <c r="F235" s="95"/>
      <c r="G235" s="21"/>
    </row>
    <row r="236" spans="2:7" s="32" customFormat="1" ht="15" customHeight="1" x14ac:dyDescent="0.25">
      <c r="B236" s="39"/>
      <c r="D236" s="59"/>
      <c r="E236" s="68"/>
      <c r="F236" s="95"/>
      <c r="G236" s="21"/>
    </row>
    <row r="237" spans="2:7" s="32" customFormat="1" ht="15" customHeight="1" x14ac:dyDescent="0.25">
      <c r="B237" s="39"/>
      <c r="D237" s="59"/>
      <c r="E237" s="68"/>
      <c r="F237" s="95"/>
      <c r="G237" s="21"/>
    </row>
    <row r="238" spans="2:7" s="32" customFormat="1" ht="15" customHeight="1" x14ac:dyDescent="0.25">
      <c r="B238" s="39"/>
      <c r="D238" s="59"/>
      <c r="E238" s="68"/>
      <c r="F238" s="95"/>
      <c r="G238" s="21"/>
    </row>
    <row r="239" spans="2:7" s="32" customFormat="1" ht="15" customHeight="1" x14ac:dyDescent="0.25">
      <c r="B239" s="39"/>
      <c r="D239" s="59"/>
      <c r="E239" s="68"/>
      <c r="F239" s="95"/>
      <c r="G239" s="21"/>
    </row>
    <row r="240" spans="2:7" s="32" customFormat="1" ht="15" customHeight="1" x14ac:dyDescent="0.25">
      <c r="B240" s="39"/>
      <c r="D240" s="59"/>
      <c r="E240" s="68"/>
      <c r="F240" s="95"/>
      <c r="G240" s="21"/>
    </row>
    <row r="241" spans="2:7" s="32" customFormat="1" ht="15" customHeight="1" x14ac:dyDescent="0.25">
      <c r="B241" s="39"/>
      <c r="D241" s="59"/>
      <c r="E241" s="68"/>
      <c r="F241" s="95"/>
      <c r="G241" s="21"/>
    </row>
    <row r="242" spans="2:7" s="32" customFormat="1" ht="15" customHeight="1" x14ac:dyDescent="0.25">
      <c r="B242" s="39"/>
      <c r="D242" s="59"/>
      <c r="E242" s="68"/>
      <c r="F242" s="95"/>
      <c r="G242" s="21"/>
    </row>
    <row r="243" spans="2:7" s="32" customFormat="1" ht="15" customHeight="1" x14ac:dyDescent="0.25">
      <c r="B243" s="39"/>
      <c r="D243" s="59"/>
      <c r="E243" s="68"/>
      <c r="F243" s="95"/>
      <c r="G243" s="21"/>
    </row>
    <row r="244" spans="2:7" s="32" customFormat="1" ht="15" customHeight="1" x14ac:dyDescent="0.25">
      <c r="B244" s="39"/>
      <c r="D244" s="59"/>
      <c r="E244" s="68"/>
      <c r="F244" s="95"/>
      <c r="G244" s="21"/>
    </row>
    <row r="245" spans="2:7" s="32" customFormat="1" ht="15" customHeight="1" x14ac:dyDescent="0.25">
      <c r="B245" s="39"/>
      <c r="D245" s="59"/>
      <c r="E245" s="68"/>
      <c r="F245" s="95"/>
      <c r="G245" s="21"/>
    </row>
    <row r="246" spans="2:7" s="32" customFormat="1" ht="15" customHeight="1" x14ac:dyDescent="0.25">
      <c r="B246" s="39"/>
      <c r="D246" s="59"/>
      <c r="E246" s="68"/>
      <c r="F246" s="95"/>
      <c r="G246" s="21"/>
    </row>
    <row r="247" spans="2:7" s="32" customFormat="1" ht="15" customHeight="1" x14ac:dyDescent="0.25">
      <c r="B247" s="39"/>
      <c r="D247" s="59"/>
      <c r="E247" s="68"/>
      <c r="F247" s="95"/>
      <c r="G247" s="21"/>
    </row>
    <row r="248" spans="2:7" s="32" customFormat="1" ht="15" customHeight="1" x14ac:dyDescent="0.25">
      <c r="B248" s="39"/>
      <c r="D248" s="59"/>
      <c r="E248" s="68"/>
      <c r="F248" s="95"/>
      <c r="G248" s="21"/>
    </row>
    <row r="249" spans="2:7" s="32" customFormat="1" ht="15" customHeight="1" x14ac:dyDescent="0.25">
      <c r="B249" s="39"/>
      <c r="D249" s="59"/>
      <c r="E249" s="68"/>
      <c r="F249" s="95"/>
      <c r="G249" s="21"/>
    </row>
    <row r="250" spans="2:7" s="32" customFormat="1" ht="15" customHeight="1" x14ac:dyDescent="0.25">
      <c r="B250" s="39"/>
      <c r="D250" s="59"/>
      <c r="E250" s="68"/>
      <c r="F250" s="95"/>
      <c r="G250" s="21"/>
    </row>
    <row r="251" spans="2:7" s="32" customFormat="1" x14ac:dyDescent="0.25">
      <c r="B251" s="39"/>
      <c r="D251" s="59"/>
      <c r="E251" s="68"/>
      <c r="F251" s="95"/>
      <c r="G251" s="21"/>
    </row>
    <row r="252" spans="2:7" s="32" customFormat="1" x14ac:dyDescent="0.25">
      <c r="B252" s="39"/>
      <c r="D252" s="59"/>
      <c r="E252" s="68"/>
      <c r="F252" s="95"/>
      <c r="G252" s="21"/>
    </row>
    <row r="253" spans="2:7" s="32" customFormat="1" x14ac:dyDescent="0.25">
      <c r="B253" s="39"/>
      <c r="D253" s="59"/>
      <c r="E253" s="68"/>
      <c r="F253" s="95"/>
      <c r="G253" s="21"/>
    </row>
    <row r="254" spans="2:7" s="32" customFormat="1" x14ac:dyDescent="0.25">
      <c r="B254" s="39"/>
      <c r="D254" s="59"/>
      <c r="E254" s="68"/>
      <c r="F254" s="95"/>
      <c r="G254" s="21"/>
    </row>
    <row r="255" spans="2:7" s="32" customFormat="1" x14ac:dyDescent="0.25">
      <c r="B255" s="39"/>
      <c r="D255" s="59"/>
      <c r="E255" s="68"/>
      <c r="F255" s="95"/>
      <c r="G255" s="21"/>
    </row>
    <row r="256" spans="2:7" s="32" customFormat="1" x14ac:dyDescent="0.25">
      <c r="B256" s="39"/>
      <c r="D256" s="59"/>
      <c r="E256" s="68"/>
      <c r="F256" s="95"/>
      <c r="G256" s="21"/>
    </row>
    <row r="257" spans="2:7" s="32" customFormat="1" x14ac:dyDescent="0.25">
      <c r="B257" s="39"/>
      <c r="D257" s="59"/>
      <c r="E257" s="68"/>
      <c r="F257" s="95"/>
      <c r="G257" s="21"/>
    </row>
    <row r="258" spans="2:7" s="32" customFormat="1" x14ac:dyDescent="0.25">
      <c r="B258" s="39"/>
      <c r="D258" s="59"/>
      <c r="E258" s="68"/>
      <c r="F258" s="95"/>
      <c r="G258" s="21"/>
    </row>
    <row r="259" spans="2:7" s="32" customFormat="1" x14ac:dyDescent="0.25">
      <c r="B259" s="39"/>
      <c r="D259" s="59"/>
      <c r="E259" s="68"/>
      <c r="F259" s="95"/>
      <c r="G259" s="21"/>
    </row>
    <row r="260" spans="2:7" s="32" customFormat="1" x14ac:dyDescent="0.25">
      <c r="B260" s="39"/>
      <c r="D260" s="59"/>
      <c r="E260" s="68"/>
      <c r="F260" s="95"/>
      <c r="G260" s="21"/>
    </row>
    <row r="261" spans="2:7" s="32" customFormat="1" x14ac:dyDescent="0.25">
      <c r="B261" s="39"/>
      <c r="D261" s="59"/>
      <c r="E261" s="68"/>
      <c r="F261" s="95"/>
      <c r="G261" s="21"/>
    </row>
    <row r="262" spans="2:7" s="32" customFormat="1" x14ac:dyDescent="0.25">
      <c r="B262" s="39"/>
      <c r="D262" s="59"/>
      <c r="E262" s="68"/>
      <c r="F262" s="95"/>
      <c r="G262" s="21"/>
    </row>
    <row r="263" spans="2:7" s="32" customFormat="1" x14ac:dyDescent="0.25">
      <c r="B263" s="39"/>
      <c r="D263" s="59"/>
      <c r="E263" s="68"/>
      <c r="F263" s="95"/>
      <c r="G263" s="21"/>
    </row>
    <row r="264" spans="2:7" s="32" customFormat="1" x14ac:dyDescent="0.25">
      <c r="B264" s="39"/>
      <c r="D264" s="59"/>
      <c r="E264" s="68"/>
      <c r="F264" s="95"/>
      <c r="G264" s="21"/>
    </row>
    <row r="265" spans="2:7" s="32" customFormat="1" x14ac:dyDescent="0.25">
      <c r="B265" s="39"/>
      <c r="D265" s="59"/>
      <c r="E265" s="68"/>
      <c r="F265" s="95"/>
      <c r="G265" s="21"/>
    </row>
    <row r="266" spans="2:7" s="32" customFormat="1" x14ac:dyDescent="0.25">
      <c r="B266" s="39"/>
      <c r="D266" s="59"/>
      <c r="E266" s="68"/>
      <c r="F266" s="95"/>
      <c r="G266" s="21"/>
    </row>
    <row r="267" spans="2:7" s="32" customFormat="1" x14ac:dyDescent="0.25">
      <c r="B267" s="39"/>
      <c r="D267" s="59"/>
      <c r="E267" s="68"/>
      <c r="F267" s="95"/>
      <c r="G267" s="21"/>
    </row>
    <row r="268" spans="2:7" s="32" customFormat="1" x14ac:dyDescent="0.25">
      <c r="B268" s="39"/>
      <c r="D268" s="59"/>
      <c r="E268" s="68"/>
      <c r="F268" s="95"/>
      <c r="G268" s="21"/>
    </row>
    <row r="269" spans="2:7" s="32" customFormat="1" x14ac:dyDescent="0.25">
      <c r="B269" s="39"/>
      <c r="D269" s="59"/>
      <c r="E269" s="68"/>
      <c r="F269" s="95"/>
      <c r="G269" s="21"/>
    </row>
    <row r="270" spans="2:7" s="32" customFormat="1" x14ac:dyDescent="0.25">
      <c r="B270" s="39"/>
      <c r="D270" s="59"/>
      <c r="E270" s="68"/>
      <c r="F270" s="95"/>
      <c r="G270" s="21"/>
    </row>
    <row r="271" spans="2:7" s="32" customFormat="1" x14ac:dyDescent="0.25">
      <c r="B271" s="39"/>
      <c r="D271" s="59"/>
      <c r="E271" s="68"/>
      <c r="F271" s="95"/>
      <c r="G271" s="21"/>
    </row>
    <row r="272" spans="2:7" s="32" customFormat="1" x14ac:dyDescent="0.25">
      <c r="B272" s="39"/>
      <c r="D272" s="59"/>
      <c r="E272" s="68"/>
      <c r="F272" s="95"/>
      <c r="G272" s="21"/>
    </row>
    <row r="273" spans="2:7" s="32" customFormat="1" x14ac:dyDescent="0.25">
      <c r="B273" s="39"/>
      <c r="D273" s="59"/>
      <c r="E273" s="68"/>
      <c r="F273" s="95"/>
      <c r="G273" s="21"/>
    </row>
    <row r="274" spans="2:7" s="32" customFormat="1" x14ac:dyDescent="0.25">
      <c r="B274" s="39"/>
      <c r="D274" s="59"/>
      <c r="E274" s="68"/>
      <c r="F274" s="95"/>
      <c r="G274" s="21"/>
    </row>
    <row r="275" spans="2:7" s="32" customFormat="1" x14ac:dyDescent="0.25">
      <c r="B275" s="39"/>
      <c r="D275" s="59"/>
      <c r="E275" s="68"/>
      <c r="F275" s="95"/>
      <c r="G275" s="21"/>
    </row>
    <row r="276" spans="2:7" s="32" customFormat="1" x14ac:dyDescent="0.25">
      <c r="B276" s="39"/>
      <c r="D276" s="59"/>
      <c r="E276" s="68"/>
      <c r="F276" s="95"/>
      <c r="G276" s="21"/>
    </row>
    <row r="277" spans="2:7" s="32" customFormat="1" x14ac:dyDescent="0.25">
      <c r="B277" s="39"/>
      <c r="D277" s="59"/>
      <c r="E277" s="68"/>
      <c r="F277" s="95"/>
      <c r="G277" s="21"/>
    </row>
    <row r="278" spans="2:7" s="32" customFormat="1" x14ac:dyDescent="0.25">
      <c r="B278" s="39"/>
      <c r="D278" s="59"/>
      <c r="E278" s="68"/>
      <c r="F278" s="95"/>
      <c r="G278" s="21"/>
    </row>
    <row r="279" spans="2:7" s="32" customFormat="1" x14ac:dyDescent="0.25">
      <c r="B279" s="39"/>
      <c r="D279" s="59"/>
      <c r="E279" s="68"/>
      <c r="F279" s="95"/>
      <c r="G279" s="21"/>
    </row>
    <row r="280" spans="2:7" s="32" customFormat="1" x14ac:dyDescent="0.25">
      <c r="B280" s="39"/>
      <c r="D280" s="59"/>
      <c r="E280" s="68"/>
      <c r="F280" s="95"/>
      <c r="G280" s="21"/>
    </row>
    <row r="281" spans="2:7" s="32" customFormat="1" x14ac:dyDescent="0.25">
      <c r="B281" s="39"/>
      <c r="D281" s="59"/>
      <c r="E281" s="68"/>
      <c r="F281" s="95"/>
      <c r="G281" s="21"/>
    </row>
    <row r="282" spans="2:7" s="32" customFormat="1" x14ac:dyDescent="0.25">
      <c r="B282" s="39"/>
      <c r="D282" s="59"/>
      <c r="E282" s="68"/>
      <c r="F282" s="95"/>
      <c r="G282" s="21"/>
    </row>
    <row r="283" spans="2:7" s="32" customFormat="1" x14ac:dyDescent="0.25">
      <c r="B283" s="39"/>
      <c r="D283" s="59"/>
      <c r="E283" s="68"/>
      <c r="F283" s="95"/>
      <c r="G283" s="21"/>
    </row>
    <row r="284" spans="2:7" s="32" customFormat="1" x14ac:dyDescent="0.25">
      <c r="B284" s="39"/>
      <c r="D284" s="59"/>
      <c r="E284" s="68"/>
      <c r="F284" s="95"/>
      <c r="G284" s="21"/>
    </row>
    <row r="285" spans="2:7" s="32" customFormat="1" x14ac:dyDescent="0.25">
      <c r="B285" s="39"/>
      <c r="D285" s="59"/>
      <c r="E285" s="68"/>
      <c r="F285" s="95"/>
      <c r="G285" s="21"/>
    </row>
    <row r="286" spans="2:7" s="32" customFormat="1" x14ac:dyDescent="0.25">
      <c r="B286" s="39"/>
      <c r="D286" s="59"/>
      <c r="E286" s="68"/>
      <c r="F286" s="95"/>
      <c r="G286" s="21"/>
    </row>
    <row r="287" spans="2:7" s="32" customFormat="1" x14ac:dyDescent="0.25">
      <c r="B287" s="39"/>
      <c r="D287" s="59"/>
      <c r="E287" s="68"/>
      <c r="F287" s="95"/>
      <c r="G287" s="21"/>
    </row>
    <row r="288" spans="2:7" s="32" customFormat="1" x14ac:dyDescent="0.25">
      <c r="B288" s="39"/>
      <c r="D288" s="59"/>
      <c r="E288" s="68"/>
      <c r="F288" s="95"/>
      <c r="G288" s="21"/>
    </row>
    <row r="289" spans="2:7" s="32" customFormat="1" x14ac:dyDescent="0.25">
      <c r="B289" s="39"/>
      <c r="D289" s="59"/>
      <c r="E289" s="68"/>
      <c r="F289" s="95"/>
      <c r="G289" s="21"/>
    </row>
    <row r="290" spans="2:7" s="32" customFormat="1" x14ac:dyDescent="0.25">
      <c r="B290" s="39"/>
      <c r="D290" s="59"/>
      <c r="E290" s="68"/>
      <c r="F290" s="95"/>
      <c r="G290" s="21"/>
    </row>
    <row r="291" spans="2:7" s="32" customFormat="1" x14ac:dyDescent="0.25">
      <c r="B291" s="39"/>
      <c r="D291" s="59"/>
      <c r="E291" s="68"/>
      <c r="F291" s="95"/>
      <c r="G291" s="21"/>
    </row>
    <row r="292" spans="2:7" s="32" customFormat="1" x14ac:dyDescent="0.25">
      <c r="B292" s="39"/>
      <c r="D292" s="59"/>
      <c r="E292" s="68"/>
      <c r="F292" s="95"/>
      <c r="G292" s="21"/>
    </row>
    <row r="293" spans="2:7" s="32" customFormat="1" x14ac:dyDescent="0.25">
      <c r="B293" s="39"/>
      <c r="D293" s="59"/>
      <c r="E293" s="68"/>
      <c r="F293" s="95"/>
      <c r="G293" s="21"/>
    </row>
    <row r="294" spans="2:7" s="32" customFormat="1" x14ac:dyDescent="0.25">
      <c r="B294" s="39"/>
      <c r="D294" s="59"/>
      <c r="E294" s="68"/>
      <c r="F294" s="95"/>
      <c r="G294" s="21"/>
    </row>
    <row r="295" spans="2:7" s="32" customFormat="1" x14ac:dyDescent="0.25">
      <c r="B295" s="39"/>
      <c r="D295" s="59"/>
      <c r="E295" s="68"/>
      <c r="F295" s="95"/>
      <c r="G295" s="21"/>
    </row>
    <row r="296" spans="2:7" s="32" customFormat="1" x14ac:dyDescent="0.25">
      <c r="B296" s="39"/>
      <c r="D296" s="59"/>
      <c r="E296" s="68"/>
      <c r="F296" s="95"/>
      <c r="G296" s="21"/>
    </row>
    <row r="297" spans="2:7" s="32" customFormat="1" x14ac:dyDescent="0.25">
      <c r="B297" s="39"/>
      <c r="D297" s="59"/>
      <c r="E297" s="68"/>
      <c r="F297" s="95"/>
      <c r="G297" s="21"/>
    </row>
    <row r="298" spans="2:7" s="32" customFormat="1" x14ac:dyDescent="0.25">
      <c r="B298" s="39"/>
      <c r="D298" s="59"/>
      <c r="E298" s="68"/>
      <c r="F298" s="95"/>
      <c r="G298" s="21"/>
    </row>
    <row r="299" spans="2:7" s="32" customFormat="1" x14ac:dyDescent="0.25">
      <c r="B299" s="39"/>
      <c r="D299" s="59"/>
      <c r="E299" s="68"/>
      <c r="F299" s="95"/>
      <c r="G299" s="21"/>
    </row>
    <row r="300" spans="2:7" s="32" customFormat="1" x14ac:dyDescent="0.25">
      <c r="B300" s="39"/>
      <c r="D300" s="59"/>
      <c r="E300" s="68"/>
      <c r="F300" s="95"/>
      <c r="G300" s="21"/>
    </row>
    <row r="301" spans="2:7" s="32" customFormat="1" x14ac:dyDescent="0.25">
      <c r="B301" s="39"/>
      <c r="D301" s="59"/>
      <c r="E301" s="68"/>
      <c r="F301" s="95"/>
      <c r="G301" s="21"/>
    </row>
    <row r="302" spans="2:7" s="32" customFormat="1" x14ac:dyDescent="0.25">
      <c r="B302" s="39"/>
      <c r="D302" s="59"/>
      <c r="E302" s="68"/>
      <c r="F302" s="95"/>
      <c r="G302" s="21"/>
    </row>
    <row r="303" spans="2:7" s="32" customFormat="1" x14ac:dyDescent="0.25">
      <c r="B303" s="39"/>
      <c r="D303" s="59"/>
      <c r="E303" s="68"/>
      <c r="F303" s="95"/>
      <c r="G303" s="21"/>
    </row>
    <row r="304" spans="2:7" s="32" customFormat="1" x14ac:dyDescent="0.25">
      <c r="B304" s="39"/>
      <c r="D304" s="59"/>
      <c r="E304" s="68"/>
      <c r="F304" s="95"/>
      <c r="G304" s="21"/>
    </row>
    <row r="305" spans="2:7" s="32" customFormat="1" x14ac:dyDescent="0.25">
      <c r="B305" s="39"/>
      <c r="D305" s="59"/>
      <c r="E305" s="68"/>
      <c r="F305" s="95"/>
      <c r="G305" s="21"/>
    </row>
    <row r="306" spans="2:7" s="32" customFormat="1" x14ac:dyDescent="0.25">
      <c r="B306" s="39"/>
      <c r="D306" s="59"/>
      <c r="E306" s="68"/>
      <c r="F306" s="95"/>
      <c r="G306" s="21"/>
    </row>
    <row r="307" spans="2:7" s="32" customFormat="1" x14ac:dyDescent="0.25">
      <c r="B307" s="39"/>
      <c r="D307" s="59"/>
      <c r="E307" s="68"/>
      <c r="F307" s="95"/>
      <c r="G307" s="21"/>
    </row>
    <row r="308" spans="2:7" s="32" customFormat="1" x14ac:dyDescent="0.25">
      <c r="B308" s="39"/>
      <c r="D308" s="59"/>
      <c r="E308" s="68"/>
      <c r="F308" s="95"/>
      <c r="G308" s="21"/>
    </row>
    <row r="309" spans="2:7" s="32" customFormat="1" x14ac:dyDescent="0.25">
      <c r="B309" s="39"/>
      <c r="D309" s="59"/>
      <c r="E309" s="68"/>
      <c r="F309" s="95"/>
      <c r="G309" s="21"/>
    </row>
    <row r="310" spans="2:7" s="32" customFormat="1" x14ac:dyDescent="0.25">
      <c r="B310" s="39"/>
      <c r="D310" s="59"/>
      <c r="E310" s="68"/>
      <c r="F310" s="95"/>
      <c r="G310" s="21"/>
    </row>
    <row r="311" spans="2:7" s="32" customFormat="1" x14ac:dyDescent="0.25">
      <c r="B311" s="39"/>
      <c r="D311" s="59"/>
      <c r="E311" s="68"/>
      <c r="F311" s="95"/>
      <c r="G311" s="21"/>
    </row>
    <row r="312" spans="2:7" s="32" customFormat="1" x14ac:dyDescent="0.25">
      <c r="B312" s="39"/>
      <c r="D312" s="59"/>
      <c r="E312" s="68"/>
      <c r="F312" s="95"/>
      <c r="G312" s="21"/>
    </row>
    <row r="313" spans="2:7" s="32" customFormat="1" x14ac:dyDescent="0.25">
      <c r="B313" s="39"/>
      <c r="D313" s="59"/>
      <c r="E313" s="68"/>
      <c r="F313" s="95"/>
      <c r="G313" s="21"/>
    </row>
    <row r="314" spans="2:7" s="32" customFormat="1" x14ac:dyDescent="0.25">
      <c r="B314" s="39"/>
      <c r="D314" s="59"/>
      <c r="E314" s="68"/>
      <c r="F314" s="95"/>
      <c r="G314" s="21"/>
    </row>
    <row r="315" spans="2:7" s="32" customFormat="1" x14ac:dyDescent="0.25">
      <c r="B315" s="39"/>
      <c r="D315" s="59"/>
      <c r="E315" s="68"/>
      <c r="F315" s="95"/>
      <c r="G315" s="21"/>
    </row>
    <row r="316" spans="2:7" s="32" customFormat="1" x14ac:dyDescent="0.25">
      <c r="B316" s="39"/>
      <c r="D316" s="59"/>
      <c r="E316" s="68"/>
      <c r="F316" s="95"/>
      <c r="G316" s="21"/>
    </row>
    <row r="317" spans="2:7" s="32" customFormat="1" x14ac:dyDescent="0.25">
      <c r="B317" s="39"/>
      <c r="D317" s="59"/>
      <c r="E317" s="68"/>
      <c r="F317" s="95"/>
      <c r="G317" s="21"/>
    </row>
    <row r="318" spans="2:7" s="32" customFormat="1" x14ac:dyDescent="0.25">
      <c r="B318" s="39"/>
      <c r="D318" s="59"/>
      <c r="E318" s="68"/>
      <c r="F318" s="95"/>
      <c r="G318" s="21"/>
    </row>
    <row r="319" spans="2:7" s="32" customFormat="1" x14ac:dyDescent="0.25">
      <c r="B319" s="39"/>
      <c r="D319" s="59"/>
      <c r="E319" s="68"/>
      <c r="F319" s="95"/>
      <c r="G319" s="21"/>
    </row>
    <row r="320" spans="2:7" s="32" customFormat="1" x14ac:dyDescent="0.25">
      <c r="B320" s="39"/>
      <c r="D320" s="59"/>
      <c r="E320" s="68"/>
      <c r="F320" s="95"/>
      <c r="G320" s="21"/>
    </row>
    <row r="321" spans="2:7" s="32" customFormat="1" x14ac:dyDescent="0.25">
      <c r="B321" s="39"/>
      <c r="D321" s="59"/>
      <c r="E321" s="68"/>
      <c r="F321" s="95"/>
      <c r="G321" s="21"/>
    </row>
    <row r="322" spans="2:7" s="32" customFormat="1" x14ac:dyDescent="0.25">
      <c r="B322" s="39"/>
      <c r="D322" s="59"/>
      <c r="E322" s="68"/>
      <c r="F322" s="95"/>
      <c r="G322" s="21"/>
    </row>
    <row r="323" spans="2:7" s="32" customFormat="1" x14ac:dyDescent="0.25">
      <c r="B323" s="39"/>
      <c r="D323" s="59"/>
      <c r="E323" s="68"/>
      <c r="F323" s="95"/>
      <c r="G323" s="21"/>
    </row>
    <row r="324" spans="2:7" s="32" customFormat="1" x14ac:dyDescent="0.25">
      <c r="B324" s="39"/>
      <c r="D324" s="59"/>
      <c r="E324" s="68"/>
      <c r="F324" s="95"/>
      <c r="G324" s="21"/>
    </row>
    <row r="325" spans="2:7" s="32" customFormat="1" x14ac:dyDescent="0.25">
      <c r="B325" s="39"/>
      <c r="D325" s="59"/>
      <c r="E325" s="68"/>
      <c r="F325" s="95"/>
      <c r="G325" s="21"/>
    </row>
    <row r="326" spans="2:7" s="32" customFormat="1" x14ac:dyDescent="0.25">
      <c r="B326" s="39"/>
      <c r="D326" s="59"/>
      <c r="E326" s="68"/>
      <c r="F326" s="95"/>
      <c r="G326" s="21"/>
    </row>
    <row r="327" spans="2:7" s="32" customFormat="1" x14ac:dyDescent="0.25">
      <c r="B327" s="39"/>
      <c r="D327" s="59"/>
      <c r="E327" s="68"/>
      <c r="F327" s="95"/>
      <c r="G327" s="21"/>
    </row>
    <row r="328" spans="2:7" s="32" customFormat="1" x14ac:dyDescent="0.25">
      <c r="B328" s="39"/>
      <c r="D328" s="59"/>
      <c r="E328" s="68"/>
      <c r="F328" s="95"/>
      <c r="G328" s="21"/>
    </row>
    <row r="329" spans="2:7" s="32" customFormat="1" x14ac:dyDescent="0.25">
      <c r="B329" s="39"/>
      <c r="D329" s="59"/>
      <c r="E329" s="68"/>
      <c r="F329" s="95"/>
      <c r="G329" s="21"/>
    </row>
    <row r="330" spans="2:7" s="32" customFormat="1" x14ac:dyDescent="0.25">
      <c r="B330" s="39"/>
      <c r="D330" s="59"/>
      <c r="E330" s="68"/>
      <c r="F330" s="95"/>
      <c r="G330" s="21"/>
    </row>
    <row r="331" spans="2:7" s="32" customFormat="1" x14ac:dyDescent="0.25">
      <c r="B331" s="39"/>
      <c r="D331" s="59"/>
      <c r="E331" s="68"/>
      <c r="F331" s="95"/>
      <c r="G331" s="21"/>
    </row>
    <row r="332" spans="2:7" s="32" customFormat="1" x14ac:dyDescent="0.25">
      <c r="B332" s="39"/>
      <c r="D332" s="59"/>
      <c r="E332" s="68"/>
      <c r="F332" s="95"/>
      <c r="G332" s="21"/>
    </row>
    <row r="333" spans="2:7" s="32" customFormat="1" x14ac:dyDescent="0.25">
      <c r="B333" s="39"/>
      <c r="D333" s="59"/>
      <c r="E333" s="68"/>
      <c r="F333" s="95"/>
      <c r="G333" s="21"/>
    </row>
    <row r="334" spans="2:7" s="32" customFormat="1" x14ac:dyDescent="0.25">
      <c r="B334" s="39"/>
      <c r="D334" s="59"/>
      <c r="E334" s="68"/>
      <c r="F334" s="95"/>
      <c r="G334" s="21"/>
    </row>
    <row r="335" spans="2:7" s="32" customFormat="1" x14ac:dyDescent="0.25">
      <c r="B335" s="39"/>
      <c r="D335" s="59"/>
      <c r="E335" s="68"/>
      <c r="F335" s="95"/>
      <c r="G335" s="21"/>
    </row>
    <row r="336" spans="2:7" s="32" customFormat="1" x14ac:dyDescent="0.25">
      <c r="B336" s="39"/>
      <c r="D336" s="59"/>
      <c r="E336" s="68"/>
      <c r="F336" s="95"/>
      <c r="G336" s="21"/>
    </row>
    <row r="337" spans="2:7" s="32" customFormat="1" x14ac:dyDescent="0.25">
      <c r="B337" s="39"/>
      <c r="D337" s="59"/>
      <c r="E337" s="68"/>
      <c r="F337" s="95"/>
      <c r="G337" s="21"/>
    </row>
    <row r="338" spans="2:7" s="32" customFormat="1" x14ac:dyDescent="0.25">
      <c r="B338" s="39"/>
      <c r="D338" s="59"/>
      <c r="E338" s="68"/>
      <c r="F338" s="95"/>
      <c r="G338" s="21"/>
    </row>
    <row r="339" spans="2:7" s="32" customFormat="1" x14ac:dyDescent="0.25">
      <c r="B339" s="39"/>
      <c r="D339" s="59"/>
      <c r="E339" s="68"/>
      <c r="F339" s="95"/>
      <c r="G339" s="21"/>
    </row>
    <row r="340" spans="2:7" s="32" customFormat="1" x14ac:dyDescent="0.25">
      <c r="B340" s="39"/>
      <c r="D340" s="59"/>
      <c r="E340" s="68"/>
      <c r="F340" s="95"/>
      <c r="G340" s="21"/>
    </row>
    <row r="341" spans="2:7" s="32" customFormat="1" x14ac:dyDescent="0.25">
      <c r="B341" s="39"/>
      <c r="D341" s="59"/>
      <c r="E341" s="68"/>
      <c r="F341" s="95"/>
      <c r="G341" s="21"/>
    </row>
    <row r="342" spans="2:7" s="32" customFormat="1" x14ac:dyDescent="0.25">
      <c r="B342" s="39"/>
      <c r="D342" s="59"/>
      <c r="E342" s="68"/>
      <c r="F342" s="95"/>
      <c r="G342" s="21"/>
    </row>
    <row r="343" spans="2:7" s="32" customFormat="1" x14ac:dyDescent="0.25">
      <c r="B343" s="39"/>
      <c r="D343" s="59"/>
      <c r="E343" s="68"/>
      <c r="F343" s="95"/>
      <c r="G343" s="21"/>
    </row>
    <row r="344" spans="2:7" s="32" customFormat="1" x14ac:dyDescent="0.25">
      <c r="B344" s="39"/>
      <c r="D344" s="59"/>
      <c r="E344" s="68"/>
      <c r="F344" s="95"/>
      <c r="G344" s="21"/>
    </row>
    <row r="345" spans="2:7" s="32" customFormat="1" x14ac:dyDescent="0.25">
      <c r="B345" s="39"/>
      <c r="D345" s="59"/>
      <c r="E345" s="68"/>
      <c r="F345" s="95"/>
      <c r="G345" s="21"/>
    </row>
    <row r="346" spans="2:7" s="32" customFormat="1" x14ac:dyDescent="0.25">
      <c r="B346" s="39"/>
      <c r="D346" s="59"/>
      <c r="E346" s="68"/>
      <c r="F346" s="95"/>
      <c r="G346" s="21"/>
    </row>
    <row r="347" spans="2:7" s="32" customFormat="1" x14ac:dyDescent="0.25">
      <c r="B347" s="39"/>
      <c r="D347" s="59"/>
      <c r="E347" s="68"/>
      <c r="F347" s="95"/>
      <c r="G347" s="21"/>
    </row>
    <row r="348" spans="2:7" s="32" customFormat="1" x14ac:dyDescent="0.25">
      <c r="B348" s="39"/>
      <c r="D348" s="59"/>
      <c r="E348" s="68"/>
      <c r="F348" s="95"/>
      <c r="G348" s="21"/>
    </row>
    <row r="349" spans="2:7" s="32" customFormat="1" x14ac:dyDescent="0.25">
      <c r="B349" s="39"/>
      <c r="D349" s="59"/>
      <c r="E349" s="68"/>
      <c r="F349" s="95"/>
      <c r="G349" s="21"/>
    </row>
    <row r="350" spans="2:7" s="32" customFormat="1" x14ac:dyDescent="0.25">
      <c r="B350" s="39"/>
      <c r="D350" s="59"/>
      <c r="E350" s="68"/>
      <c r="F350" s="95"/>
      <c r="G350" s="21"/>
    </row>
    <row r="351" spans="2:7" s="32" customFormat="1" x14ac:dyDescent="0.25">
      <c r="B351" s="39"/>
      <c r="D351" s="59"/>
      <c r="E351" s="68"/>
      <c r="F351" s="95"/>
      <c r="G351" s="21"/>
    </row>
    <row r="352" spans="2:7" s="32" customFormat="1" x14ac:dyDescent="0.25">
      <c r="B352" s="39"/>
      <c r="D352" s="59"/>
      <c r="E352" s="68"/>
      <c r="F352" s="95"/>
      <c r="G352" s="21"/>
    </row>
    <row r="353" spans="2:7" s="32" customFormat="1" x14ac:dyDescent="0.25">
      <c r="B353" s="39"/>
      <c r="D353" s="59"/>
      <c r="E353" s="68"/>
      <c r="F353" s="95"/>
      <c r="G353" s="21"/>
    </row>
    <row r="354" spans="2:7" s="32" customFormat="1" x14ac:dyDescent="0.25">
      <c r="B354" s="39"/>
      <c r="D354" s="59"/>
      <c r="E354" s="68"/>
      <c r="F354" s="95"/>
      <c r="G354" s="21"/>
    </row>
    <row r="355" spans="2:7" s="32" customFormat="1" x14ac:dyDescent="0.25">
      <c r="B355" s="39"/>
      <c r="D355" s="59"/>
      <c r="E355" s="68"/>
      <c r="F355" s="95"/>
      <c r="G355" s="21"/>
    </row>
    <row r="356" spans="2:7" s="32" customFormat="1" x14ac:dyDescent="0.25">
      <c r="B356" s="39"/>
      <c r="D356" s="59"/>
      <c r="E356" s="68"/>
      <c r="F356" s="95"/>
      <c r="G356" s="21"/>
    </row>
    <row r="357" spans="2:7" s="32" customFormat="1" x14ac:dyDescent="0.25">
      <c r="B357" s="39"/>
      <c r="D357" s="59"/>
      <c r="E357" s="68"/>
      <c r="F357" s="95"/>
      <c r="G357" s="21"/>
    </row>
    <row r="358" spans="2:7" s="32" customFormat="1" x14ac:dyDescent="0.25">
      <c r="B358" s="39"/>
      <c r="D358" s="59"/>
      <c r="E358" s="68"/>
      <c r="F358" s="95"/>
      <c r="G358" s="21"/>
    </row>
    <row r="359" spans="2:7" s="32" customFormat="1" x14ac:dyDescent="0.25">
      <c r="B359" s="39"/>
      <c r="D359" s="59"/>
      <c r="E359" s="68"/>
      <c r="F359" s="95"/>
      <c r="G359" s="21"/>
    </row>
    <row r="360" spans="2:7" s="32" customFormat="1" x14ac:dyDescent="0.25">
      <c r="B360" s="39"/>
      <c r="D360" s="59"/>
      <c r="E360" s="68"/>
      <c r="F360" s="95"/>
      <c r="G360" s="21"/>
    </row>
    <row r="361" spans="2:7" s="32" customFormat="1" x14ac:dyDescent="0.25">
      <c r="B361" s="39"/>
      <c r="D361" s="59"/>
      <c r="E361" s="68"/>
      <c r="F361" s="95"/>
      <c r="G361" s="21"/>
    </row>
    <row r="362" spans="2:7" s="32" customFormat="1" x14ac:dyDescent="0.25">
      <c r="B362" s="39"/>
      <c r="D362" s="59"/>
      <c r="E362" s="68"/>
      <c r="F362" s="95"/>
      <c r="G362" s="21"/>
    </row>
    <row r="363" spans="2:7" s="32" customFormat="1" x14ac:dyDescent="0.25">
      <c r="B363" s="39"/>
      <c r="D363" s="59"/>
      <c r="E363" s="68"/>
      <c r="F363" s="95"/>
      <c r="G363" s="21"/>
    </row>
    <row r="364" spans="2:7" s="32" customFormat="1" x14ac:dyDescent="0.25">
      <c r="B364" s="39"/>
      <c r="D364" s="59"/>
      <c r="E364" s="68"/>
      <c r="F364" s="95"/>
      <c r="G364" s="21"/>
    </row>
    <row r="365" spans="2:7" s="32" customFormat="1" x14ac:dyDescent="0.25">
      <c r="B365" s="39"/>
      <c r="D365" s="59"/>
      <c r="E365" s="68"/>
      <c r="F365" s="95"/>
      <c r="G365" s="21"/>
    </row>
    <row r="366" spans="2:7" s="32" customFormat="1" x14ac:dyDescent="0.25">
      <c r="B366" s="39"/>
      <c r="D366" s="59"/>
      <c r="E366" s="68"/>
      <c r="F366" s="95"/>
      <c r="G366" s="21"/>
    </row>
    <row r="367" spans="2:7" s="32" customFormat="1" x14ac:dyDescent="0.25">
      <c r="B367" s="39"/>
      <c r="D367" s="59"/>
      <c r="E367" s="68"/>
      <c r="F367" s="95"/>
      <c r="G367" s="21"/>
    </row>
    <row r="368" spans="2:7" s="32" customFormat="1" x14ac:dyDescent="0.25">
      <c r="B368" s="39"/>
      <c r="D368" s="59"/>
      <c r="E368" s="68"/>
      <c r="F368" s="95"/>
      <c r="G368" s="21"/>
    </row>
    <row r="369" spans="2:7" s="32" customFormat="1" x14ac:dyDescent="0.25">
      <c r="B369" s="39"/>
      <c r="D369" s="59"/>
      <c r="E369" s="68"/>
      <c r="F369" s="95"/>
      <c r="G369" s="21"/>
    </row>
    <row r="370" spans="2:7" s="32" customFormat="1" x14ac:dyDescent="0.25">
      <c r="B370" s="39"/>
      <c r="D370" s="59"/>
      <c r="E370" s="68"/>
      <c r="F370" s="95"/>
      <c r="G370" s="21"/>
    </row>
    <row r="371" spans="2:7" s="32" customFormat="1" x14ac:dyDescent="0.25">
      <c r="B371" s="39"/>
      <c r="D371" s="59"/>
      <c r="E371" s="68"/>
      <c r="F371" s="95"/>
      <c r="G371" s="21"/>
    </row>
    <row r="372" spans="2:7" s="32" customFormat="1" x14ac:dyDescent="0.25">
      <c r="B372" s="39"/>
      <c r="D372" s="59"/>
      <c r="E372" s="68"/>
      <c r="F372" s="95"/>
      <c r="G372" s="21"/>
    </row>
    <row r="373" spans="2:7" s="32" customFormat="1" x14ac:dyDescent="0.25">
      <c r="B373" s="39"/>
      <c r="D373" s="59"/>
      <c r="E373" s="68"/>
      <c r="F373" s="95"/>
      <c r="G373" s="21"/>
    </row>
    <row r="374" spans="2:7" s="32" customFormat="1" x14ac:dyDescent="0.25">
      <c r="B374" s="39"/>
      <c r="D374" s="59"/>
      <c r="E374" s="68"/>
      <c r="F374" s="95"/>
      <c r="G374" s="21"/>
    </row>
    <row r="375" spans="2:7" s="32" customFormat="1" x14ac:dyDescent="0.25">
      <c r="B375" s="39"/>
      <c r="D375" s="59"/>
      <c r="E375" s="68"/>
      <c r="F375" s="95"/>
      <c r="G375" s="21"/>
    </row>
    <row r="376" spans="2:7" s="32" customFormat="1" x14ac:dyDescent="0.25">
      <c r="B376" s="39"/>
      <c r="D376" s="59"/>
      <c r="E376" s="68"/>
      <c r="F376" s="95"/>
      <c r="G376" s="21"/>
    </row>
    <row r="377" spans="2:7" s="32" customFormat="1" x14ac:dyDescent="0.25">
      <c r="B377" s="39"/>
      <c r="D377" s="59"/>
      <c r="E377" s="68"/>
      <c r="F377" s="95"/>
      <c r="G377" s="21"/>
    </row>
    <row r="378" spans="2:7" s="32" customFormat="1" x14ac:dyDescent="0.25">
      <c r="B378" s="39"/>
      <c r="D378" s="59"/>
      <c r="E378" s="68"/>
      <c r="F378" s="95"/>
      <c r="G378" s="21"/>
    </row>
    <row r="379" spans="2:7" s="32" customFormat="1" x14ac:dyDescent="0.25">
      <c r="B379" s="39"/>
      <c r="D379" s="59"/>
      <c r="E379" s="68"/>
      <c r="F379" s="95"/>
      <c r="G379" s="21"/>
    </row>
    <row r="380" spans="2:7" s="32" customFormat="1" x14ac:dyDescent="0.25">
      <c r="B380" s="39"/>
      <c r="D380" s="59"/>
      <c r="E380" s="68"/>
      <c r="F380" s="95"/>
      <c r="G380" s="21"/>
    </row>
    <row r="381" spans="2:7" s="32" customFormat="1" x14ac:dyDescent="0.25">
      <c r="B381" s="39"/>
      <c r="D381" s="59"/>
      <c r="E381" s="68"/>
      <c r="F381" s="95"/>
      <c r="G381" s="21"/>
    </row>
    <row r="382" spans="2:7" s="32" customFormat="1" x14ac:dyDescent="0.25">
      <c r="B382" s="39"/>
      <c r="D382" s="59"/>
      <c r="E382" s="68"/>
      <c r="F382" s="95"/>
      <c r="G382" s="21"/>
    </row>
    <row r="383" spans="2:7" s="32" customFormat="1" x14ac:dyDescent="0.25">
      <c r="B383" s="39"/>
      <c r="D383" s="59"/>
      <c r="E383" s="68"/>
      <c r="F383" s="95"/>
      <c r="G383" s="21"/>
    </row>
    <row r="384" spans="2:7" s="32" customFormat="1" x14ac:dyDescent="0.25">
      <c r="B384" s="39"/>
      <c r="D384" s="59"/>
      <c r="E384" s="68"/>
      <c r="F384" s="95"/>
      <c r="G384" s="21"/>
    </row>
    <row r="385" spans="2:7" s="32" customFormat="1" x14ac:dyDescent="0.25">
      <c r="B385" s="39"/>
      <c r="D385" s="59"/>
      <c r="E385" s="68"/>
      <c r="F385" s="95"/>
      <c r="G385" s="21"/>
    </row>
    <row r="386" spans="2:7" s="32" customFormat="1" x14ac:dyDescent="0.25">
      <c r="B386" s="39"/>
      <c r="D386" s="59"/>
      <c r="E386" s="68"/>
      <c r="F386" s="95"/>
      <c r="G386" s="21"/>
    </row>
    <row r="387" spans="2:7" s="32" customFormat="1" x14ac:dyDescent="0.25">
      <c r="B387" s="39"/>
      <c r="D387" s="59"/>
      <c r="E387" s="68"/>
      <c r="F387" s="95"/>
      <c r="G387" s="21"/>
    </row>
    <row r="388" spans="2:7" s="32" customFormat="1" x14ac:dyDescent="0.25">
      <c r="B388" s="39"/>
      <c r="D388" s="59"/>
      <c r="E388" s="68"/>
      <c r="F388" s="95"/>
      <c r="G388" s="21"/>
    </row>
    <row r="389" spans="2:7" s="32" customFormat="1" x14ac:dyDescent="0.25">
      <c r="B389" s="39"/>
      <c r="D389" s="59"/>
      <c r="E389" s="68"/>
      <c r="F389" s="95"/>
      <c r="G389" s="21"/>
    </row>
    <row r="390" spans="2:7" s="32" customFormat="1" x14ac:dyDescent="0.25">
      <c r="B390" s="39"/>
      <c r="D390" s="59"/>
      <c r="E390" s="68"/>
      <c r="F390" s="95"/>
      <c r="G390" s="21"/>
    </row>
    <row r="391" spans="2:7" s="32" customFormat="1" x14ac:dyDescent="0.25">
      <c r="B391" s="39"/>
      <c r="D391" s="59"/>
      <c r="E391" s="68"/>
      <c r="F391" s="95"/>
      <c r="G391" s="21"/>
    </row>
    <row r="392" spans="2:7" s="32" customFormat="1" x14ac:dyDescent="0.25">
      <c r="B392" s="39"/>
      <c r="D392" s="59"/>
      <c r="E392" s="68"/>
      <c r="F392" s="95"/>
      <c r="G392" s="21"/>
    </row>
    <row r="393" spans="2:7" s="32" customFormat="1" x14ac:dyDescent="0.25">
      <c r="B393" s="39"/>
      <c r="D393" s="59"/>
      <c r="E393" s="68"/>
      <c r="F393" s="95"/>
      <c r="G393" s="21"/>
    </row>
    <row r="394" spans="2:7" s="32" customFormat="1" x14ac:dyDescent="0.25">
      <c r="B394" s="39"/>
      <c r="D394" s="59"/>
      <c r="E394" s="68"/>
      <c r="F394" s="95"/>
      <c r="G394" s="21"/>
    </row>
    <row r="395" spans="2:7" s="32" customFormat="1" x14ac:dyDescent="0.25">
      <c r="B395" s="39"/>
      <c r="D395" s="59"/>
      <c r="E395" s="68"/>
      <c r="F395" s="95"/>
      <c r="G395" s="21"/>
    </row>
    <row r="396" spans="2:7" s="32" customFormat="1" x14ac:dyDescent="0.25">
      <c r="B396" s="39"/>
      <c r="D396" s="59"/>
      <c r="E396" s="68"/>
      <c r="F396" s="95"/>
      <c r="G396" s="21"/>
    </row>
    <row r="397" spans="2:7" s="32" customFormat="1" x14ac:dyDescent="0.25">
      <c r="B397" s="39"/>
      <c r="D397" s="59"/>
      <c r="E397" s="68"/>
      <c r="F397" s="95"/>
      <c r="G397" s="21"/>
    </row>
    <row r="398" spans="2:7" s="32" customFormat="1" x14ac:dyDescent="0.25">
      <c r="B398" s="39"/>
      <c r="D398" s="59"/>
      <c r="E398" s="68"/>
      <c r="F398" s="95"/>
      <c r="G398" s="21"/>
    </row>
    <row r="399" spans="2:7" s="32" customFormat="1" x14ac:dyDescent="0.25">
      <c r="B399" s="39"/>
      <c r="D399" s="59"/>
      <c r="E399" s="68"/>
      <c r="F399" s="95"/>
      <c r="G399" s="21"/>
    </row>
    <row r="400" spans="2:7" s="32" customFormat="1" x14ac:dyDescent="0.25">
      <c r="B400" s="39"/>
      <c r="D400" s="59"/>
      <c r="E400" s="68"/>
      <c r="F400" s="95"/>
      <c r="G400" s="21"/>
    </row>
    <row r="401" spans="2:7" s="32" customFormat="1" x14ac:dyDescent="0.25">
      <c r="B401" s="39"/>
      <c r="D401" s="59"/>
      <c r="E401" s="68"/>
      <c r="F401" s="95"/>
      <c r="G401" s="21"/>
    </row>
    <row r="402" spans="2:7" s="32" customFormat="1" x14ac:dyDescent="0.25">
      <c r="B402" s="39"/>
      <c r="D402" s="59"/>
      <c r="E402" s="68"/>
      <c r="F402" s="95"/>
      <c r="G402" s="21"/>
    </row>
    <row r="403" spans="2:7" s="32" customFormat="1" x14ac:dyDescent="0.25">
      <c r="B403" s="39"/>
      <c r="D403" s="59"/>
      <c r="E403" s="68"/>
      <c r="F403" s="95"/>
      <c r="G403" s="21"/>
    </row>
    <row r="404" spans="2:7" s="32" customFormat="1" x14ac:dyDescent="0.25">
      <c r="B404" s="39"/>
      <c r="D404" s="59"/>
      <c r="E404" s="68"/>
      <c r="F404" s="95"/>
      <c r="G404" s="21"/>
    </row>
    <row r="405" spans="2:7" s="32" customFormat="1" x14ac:dyDescent="0.25">
      <c r="B405" s="39"/>
      <c r="D405" s="59"/>
      <c r="E405" s="68"/>
      <c r="F405" s="95"/>
      <c r="G405" s="21"/>
    </row>
    <row r="406" spans="2:7" s="32" customFormat="1" x14ac:dyDescent="0.25">
      <c r="B406" s="39"/>
      <c r="D406" s="59"/>
      <c r="E406" s="68"/>
      <c r="F406" s="95"/>
      <c r="G406" s="21"/>
    </row>
    <row r="407" spans="2:7" s="32" customFormat="1" x14ac:dyDescent="0.25">
      <c r="B407" s="39"/>
      <c r="D407" s="59"/>
      <c r="E407" s="68"/>
      <c r="F407" s="95"/>
      <c r="G407" s="21"/>
    </row>
    <row r="408" spans="2:7" s="32" customFormat="1" x14ac:dyDescent="0.25">
      <c r="B408" s="39"/>
      <c r="D408" s="59"/>
      <c r="E408" s="68"/>
      <c r="F408" s="95"/>
      <c r="G408" s="21"/>
    </row>
    <row r="409" spans="2:7" s="32" customFormat="1" x14ac:dyDescent="0.25">
      <c r="B409" s="39"/>
      <c r="D409" s="59"/>
      <c r="E409" s="68"/>
      <c r="F409" s="95"/>
      <c r="G409" s="21"/>
    </row>
    <row r="410" spans="2:7" s="32" customFormat="1" x14ac:dyDescent="0.25">
      <c r="B410" s="39"/>
      <c r="D410" s="59"/>
      <c r="E410" s="68"/>
      <c r="F410" s="95"/>
      <c r="G410" s="21"/>
    </row>
    <row r="411" spans="2:7" s="32" customFormat="1" x14ac:dyDescent="0.25">
      <c r="B411" s="39"/>
      <c r="D411" s="59"/>
      <c r="E411" s="68"/>
      <c r="F411" s="95"/>
      <c r="G411" s="21"/>
    </row>
    <row r="412" spans="2:7" s="32" customFormat="1" x14ac:dyDescent="0.25">
      <c r="B412" s="39"/>
      <c r="D412" s="59"/>
      <c r="E412" s="68"/>
      <c r="F412" s="95"/>
      <c r="G412" s="21"/>
    </row>
    <row r="413" spans="2:7" s="32" customFormat="1" x14ac:dyDescent="0.25">
      <c r="B413" s="39"/>
      <c r="D413" s="59"/>
      <c r="E413" s="68"/>
      <c r="F413" s="95"/>
      <c r="G413" s="21"/>
    </row>
    <row r="414" spans="2:7" s="32" customFormat="1" x14ac:dyDescent="0.25">
      <c r="B414" s="39"/>
      <c r="D414" s="59"/>
      <c r="E414" s="68"/>
      <c r="F414" s="95"/>
      <c r="G414" s="21"/>
    </row>
    <row r="415" spans="2:7" s="32" customFormat="1" x14ac:dyDescent="0.25">
      <c r="B415" s="39"/>
      <c r="D415" s="59"/>
      <c r="E415" s="68"/>
      <c r="F415" s="95"/>
      <c r="G415" s="21"/>
    </row>
    <row r="416" spans="2:7" s="32" customFormat="1" x14ac:dyDescent="0.25">
      <c r="B416" s="39"/>
      <c r="D416" s="59"/>
      <c r="E416" s="68"/>
      <c r="F416" s="95"/>
      <c r="G416" s="21"/>
    </row>
    <row r="417" spans="2:7" s="32" customFormat="1" x14ac:dyDescent="0.25">
      <c r="B417" s="39"/>
      <c r="D417" s="59"/>
      <c r="E417" s="68"/>
      <c r="F417" s="95"/>
      <c r="G417" s="21"/>
    </row>
    <row r="418" spans="2:7" s="32" customFormat="1" x14ac:dyDescent="0.25">
      <c r="B418" s="39"/>
      <c r="D418" s="59"/>
      <c r="E418" s="68"/>
      <c r="F418" s="95"/>
      <c r="G418" s="21"/>
    </row>
    <row r="419" spans="2:7" s="32" customFormat="1" x14ac:dyDescent="0.25">
      <c r="B419" s="39"/>
      <c r="D419" s="59"/>
      <c r="E419" s="68"/>
      <c r="F419" s="95"/>
      <c r="G419" s="21"/>
    </row>
    <row r="420" spans="2:7" s="32" customFormat="1" x14ac:dyDescent="0.25">
      <c r="B420" s="39"/>
      <c r="D420" s="59"/>
      <c r="E420" s="68"/>
      <c r="F420" s="95"/>
      <c r="G420" s="21"/>
    </row>
    <row r="421" spans="2:7" s="32" customFormat="1" x14ac:dyDescent="0.25">
      <c r="B421" s="39"/>
      <c r="D421" s="59"/>
      <c r="E421" s="68"/>
      <c r="F421" s="95"/>
      <c r="G421" s="21"/>
    </row>
    <row r="422" spans="2:7" s="32" customFormat="1" x14ac:dyDescent="0.25">
      <c r="B422" s="39"/>
      <c r="D422" s="59"/>
      <c r="E422" s="68"/>
      <c r="F422" s="95"/>
      <c r="G422" s="21"/>
    </row>
    <row r="423" spans="2:7" s="32" customFormat="1" x14ac:dyDescent="0.25">
      <c r="B423" s="39"/>
      <c r="D423" s="59"/>
      <c r="E423" s="68"/>
      <c r="F423" s="95"/>
      <c r="G423" s="21"/>
    </row>
    <row r="424" spans="2:7" s="32" customFormat="1" x14ac:dyDescent="0.25">
      <c r="B424" s="39"/>
      <c r="D424" s="59"/>
      <c r="E424" s="68"/>
      <c r="F424" s="95"/>
      <c r="G424" s="21"/>
    </row>
    <row r="425" spans="2:7" s="32" customFormat="1" x14ac:dyDescent="0.25">
      <c r="B425" s="39"/>
      <c r="D425" s="59"/>
      <c r="E425" s="68"/>
      <c r="F425" s="95"/>
      <c r="G425" s="21"/>
    </row>
    <row r="426" spans="2:7" s="32" customFormat="1" x14ac:dyDescent="0.25">
      <c r="B426" s="39"/>
      <c r="D426" s="59"/>
      <c r="E426" s="68"/>
      <c r="F426" s="95"/>
      <c r="G426" s="21"/>
    </row>
    <row r="427" spans="2:7" s="32" customFormat="1" x14ac:dyDescent="0.25">
      <c r="B427" s="39"/>
      <c r="D427" s="59"/>
      <c r="E427" s="68"/>
      <c r="F427" s="95"/>
      <c r="G427" s="21"/>
    </row>
    <row r="428" spans="2:7" s="32" customFormat="1" x14ac:dyDescent="0.25">
      <c r="B428" s="39"/>
      <c r="D428" s="59"/>
      <c r="E428" s="68"/>
      <c r="F428" s="95"/>
      <c r="G428" s="21"/>
    </row>
    <row r="429" spans="2:7" s="32" customFormat="1" x14ac:dyDescent="0.25">
      <c r="B429" s="39"/>
      <c r="D429" s="59"/>
      <c r="E429" s="68"/>
      <c r="F429" s="95"/>
      <c r="G429" s="21"/>
    </row>
    <row r="430" spans="2:7" s="32" customFormat="1" x14ac:dyDescent="0.25">
      <c r="B430" s="39"/>
      <c r="D430" s="59"/>
      <c r="E430" s="68"/>
      <c r="F430" s="95"/>
      <c r="G430" s="21"/>
    </row>
    <row r="431" spans="2:7" s="32" customFormat="1" x14ac:dyDescent="0.25">
      <c r="B431" s="39"/>
      <c r="D431" s="59"/>
      <c r="E431" s="68"/>
      <c r="F431" s="95"/>
      <c r="G431" s="21"/>
    </row>
    <row r="432" spans="2:7" s="32" customFormat="1" x14ac:dyDescent="0.25">
      <c r="B432" s="39"/>
      <c r="D432" s="59"/>
      <c r="E432" s="68"/>
      <c r="F432" s="95"/>
      <c r="G432" s="21"/>
    </row>
    <row r="433" spans="2:7" s="32" customFormat="1" x14ac:dyDescent="0.25">
      <c r="B433" s="39"/>
      <c r="D433" s="59"/>
      <c r="E433" s="68"/>
      <c r="F433" s="95"/>
      <c r="G433" s="21"/>
    </row>
    <row r="434" spans="2:7" s="32" customFormat="1" x14ac:dyDescent="0.25">
      <c r="B434" s="39"/>
      <c r="D434" s="59"/>
      <c r="E434" s="68"/>
      <c r="F434" s="95"/>
      <c r="G434" s="21"/>
    </row>
    <row r="435" spans="2:7" s="32" customFormat="1" x14ac:dyDescent="0.25">
      <c r="B435" s="39"/>
      <c r="D435" s="59"/>
      <c r="E435" s="68"/>
      <c r="F435" s="95"/>
      <c r="G435" s="21"/>
    </row>
    <row r="436" spans="2:7" s="32" customFormat="1" x14ac:dyDescent="0.25">
      <c r="B436" s="39"/>
      <c r="D436" s="59"/>
      <c r="E436" s="68"/>
      <c r="F436" s="95"/>
      <c r="G436" s="21"/>
    </row>
    <row r="437" spans="2:7" s="32" customFormat="1" x14ac:dyDescent="0.25">
      <c r="B437" s="39"/>
      <c r="D437" s="59"/>
      <c r="E437" s="68"/>
      <c r="F437" s="95"/>
      <c r="G437" s="21"/>
    </row>
    <row r="438" spans="2:7" s="32" customFormat="1" x14ac:dyDescent="0.25">
      <c r="B438" s="39"/>
      <c r="D438" s="59"/>
      <c r="E438" s="68"/>
      <c r="F438" s="95"/>
      <c r="G438" s="21"/>
    </row>
    <row r="439" spans="2:7" s="32" customFormat="1" x14ac:dyDescent="0.25">
      <c r="B439" s="39"/>
      <c r="D439" s="59"/>
      <c r="E439" s="68"/>
      <c r="F439" s="95"/>
      <c r="G439" s="21"/>
    </row>
    <row r="440" spans="2:7" s="32" customFormat="1" x14ac:dyDescent="0.25">
      <c r="B440" s="39"/>
      <c r="D440" s="59"/>
      <c r="E440" s="68"/>
      <c r="F440" s="95"/>
      <c r="G440" s="21"/>
    </row>
    <row r="441" spans="2:7" s="32" customFormat="1" x14ac:dyDescent="0.25">
      <c r="B441" s="39"/>
      <c r="D441" s="59"/>
      <c r="E441" s="68"/>
      <c r="F441" s="95"/>
      <c r="G441" s="21"/>
    </row>
    <row r="442" spans="2:7" s="32" customFormat="1" x14ac:dyDescent="0.25">
      <c r="B442" s="39"/>
      <c r="D442" s="59"/>
      <c r="E442" s="68"/>
      <c r="F442" s="95"/>
      <c r="G442" s="21"/>
    </row>
    <row r="443" spans="2:7" s="32" customFormat="1" x14ac:dyDescent="0.25">
      <c r="B443" s="39"/>
      <c r="D443" s="59"/>
      <c r="E443" s="68"/>
      <c r="F443" s="95"/>
      <c r="G443" s="21"/>
    </row>
    <row r="444" spans="2:7" s="32" customFormat="1" x14ac:dyDescent="0.25">
      <c r="B444" s="39"/>
      <c r="D444" s="59"/>
      <c r="E444" s="68"/>
      <c r="F444" s="95"/>
      <c r="G444" s="21"/>
    </row>
    <row r="445" spans="2:7" s="32" customFormat="1" x14ac:dyDescent="0.25">
      <c r="B445" s="39"/>
      <c r="D445" s="59"/>
      <c r="E445" s="68"/>
      <c r="F445" s="95"/>
      <c r="G445" s="21"/>
    </row>
    <row r="446" spans="2:7" s="32" customFormat="1" x14ac:dyDescent="0.25">
      <c r="B446" s="39"/>
      <c r="D446" s="59"/>
      <c r="E446" s="68"/>
      <c r="F446" s="95"/>
      <c r="G446" s="21"/>
    </row>
    <row r="447" spans="2:7" s="32" customFormat="1" x14ac:dyDescent="0.25">
      <c r="B447" s="39"/>
      <c r="D447" s="59"/>
      <c r="E447" s="68"/>
      <c r="F447" s="95"/>
      <c r="G447" s="21"/>
    </row>
    <row r="448" spans="2:7" s="32" customFormat="1" x14ac:dyDescent="0.25">
      <c r="B448" s="39"/>
      <c r="D448" s="59"/>
      <c r="E448" s="68"/>
      <c r="F448" s="95"/>
      <c r="G448" s="21"/>
    </row>
    <row r="449" spans="2:7" s="32" customFormat="1" x14ac:dyDescent="0.25">
      <c r="B449" s="39"/>
      <c r="D449" s="59"/>
      <c r="E449" s="68"/>
      <c r="F449" s="95"/>
      <c r="G449" s="21"/>
    </row>
    <row r="450" spans="2:7" s="32" customFormat="1" x14ac:dyDescent="0.25">
      <c r="B450" s="39"/>
      <c r="D450" s="59"/>
      <c r="E450" s="68"/>
      <c r="F450" s="95"/>
      <c r="G450" s="21"/>
    </row>
    <row r="451" spans="2:7" s="32" customFormat="1" x14ac:dyDescent="0.25">
      <c r="B451" s="39"/>
      <c r="D451" s="59"/>
      <c r="E451" s="68"/>
      <c r="F451" s="95"/>
      <c r="G451" s="21"/>
    </row>
    <row r="452" spans="2:7" s="32" customFormat="1" x14ac:dyDescent="0.25">
      <c r="B452" s="39"/>
      <c r="D452" s="59"/>
      <c r="E452" s="68"/>
      <c r="F452" s="95"/>
      <c r="G452" s="21"/>
    </row>
    <row r="453" spans="2:7" s="32" customFormat="1" x14ac:dyDescent="0.25">
      <c r="B453" s="39"/>
      <c r="D453" s="59"/>
      <c r="E453" s="68"/>
      <c r="F453" s="95"/>
      <c r="G453" s="21"/>
    </row>
    <row r="454" spans="2:7" s="32" customFormat="1" x14ac:dyDescent="0.25">
      <c r="B454" s="39"/>
      <c r="D454" s="59"/>
      <c r="E454" s="68"/>
      <c r="F454" s="95"/>
      <c r="G454" s="21"/>
    </row>
    <row r="455" spans="2:7" s="32" customFormat="1" x14ac:dyDescent="0.25">
      <c r="B455" s="39"/>
      <c r="D455" s="59"/>
      <c r="E455" s="68"/>
      <c r="F455" s="95"/>
      <c r="G455" s="21"/>
    </row>
    <row r="456" spans="2:7" s="32" customFormat="1" x14ac:dyDescent="0.25">
      <c r="B456" s="39"/>
      <c r="D456" s="59"/>
      <c r="E456" s="68"/>
      <c r="F456" s="95"/>
      <c r="G456" s="21"/>
    </row>
    <row r="457" spans="2:7" s="32" customFormat="1" x14ac:dyDescent="0.25">
      <c r="B457" s="39"/>
      <c r="D457" s="59"/>
      <c r="E457" s="68"/>
      <c r="F457" s="95"/>
      <c r="G457" s="21"/>
    </row>
    <row r="458" spans="2:7" s="32" customFormat="1" x14ac:dyDescent="0.25">
      <c r="B458" s="39"/>
      <c r="D458" s="59"/>
      <c r="E458" s="68"/>
      <c r="F458" s="95"/>
      <c r="G458" s="21"/>
    </row>
    <row r="459" spans="2:7" s="32" customFormat="1" x14ac:dyDescent="0.25">
      <c r="B459" s="39"/>
      <c r="D459" s="59"/>
      <c r="E459" s="68"/>
      <c r="F459" s="95"/>
      <c r="G459" s="21"/>
    </row>
    <row r="460" spans="2:7" s="32" customFormat="1" x14ac:dyDescent="0.25">
      <c r="B460" s="39"/>
      <c r="D460" s="59"/>
      <c r="E460" s="68"/>
      <c r="F460" s="95"/>
      <c r="G460" s="21"/>
    </row>
    <row r="461" spans="2:7" s="32" customFormat="1" x14ac:dyDescent="0.25">
      <c r="B461" s="39"/>
      <c r="D461" s="59"/>
      <c r="E461" s="68"/>
      <c r="F461" s="95"/>
      <c r="G461" s="21"/>
    </row>
    <row r="462" spans="2:7" s="32" customFormat="1" x14ac:dyDescent="0.25">
      <c r="B462" s="39"/>
      <c r="D462" s="59"/>
      <c r="E462" s="68"/>
      <c r="F462" s="95"/>
      <c r="G462" s="21"/>
    </row>
    <row r="463" spans="2:7" s="32" customFormat="1" x14ac:dyDescent="0.25">
      <c r="B463" s="39"/>
      <c r="D463" s="59"/>
      <c r="E463" s="68"/>
      <c r="F463" s="95"/>
      <c r="G463" s="21"/>
    </row>
    <row r="464" spans="2:7" s="32" customFormat="1" x14ac:dyDescent="0.25">
      <c r="B464" s="39"/>
      <c r="D464" s="59"/>
      <c r="E464" s="68"/>
      <c r="F464" s="95"/>
      <c r="G464" s="21"/>
    </row>
    <row r="465" spans="2:7" s="32" customFormat="1" x14ac:dyDescent="0.25">
      <c r="B465" s="39"/>
      <c r="D465" s="59"/>
      <c r="E465" s="68"/>
      <c r="F465" s="95"/>
      <c r="G465" s="21"/>
    </row>
    <row r="466" spans="2:7" s="32" customFormat="1" x14ac:dyDescent="0.25">
      <c r="B466" s="39"/>
      <c r="D466" s="59"/>
      <c r="E466" s="68"/>
      <c r="F466" s="95"/>
      <c r="G466" s="21"/>
    </row>
    <row r="467" spans="2:7" s="32" customFormat="1" x14ac:dyDescent="0.25">
      <c r="B467" s="39"/>
      <c r="D467" s="59"/>
      <c r="E467" s="68"/>
      <c r="F467" s="95"/>
      <c r="G467" s="21"/>
    </row>
    <row r="468" spans="2:7" s="32" customFormat="1" x14ac:dyDescent="0.25">
      <c r="B468" s="39"/>
      <c r="D468" s="59"/>
      <c r="E468" s="68"/>
      <c r="F468" s="95"/>
      <c r="G468" s="21"/>
    </row>
    <row r="469" spans="2:7" s="32" customFormat="1" x14ac:dyDescent="0.25">
      <c r="B469" s="39"/>
      <c r="D469" s="59"/>
      <c r="E469" s="68"/>
      <c r="F469" s="95"/>
      <c r="G469" s="21"/>
    </row>
    <row r="470" spans="2:7" s="32" customFormat="1" x14ac:dyDescent="0.25">
      <c r="B470" s="39"/>
      <c r="D470" s="59"/>
      <c r="E470" s="68"/>
      <c r="F470" s="95"/>
      <c r="G470" s="21"/>
    </row>
    <row r="471" spans="2:7" s="32" customFormat="1" x14ac:dyDescent="0.25">
      <c r="B471" s="39"/>
      <c r="D471" s="59"/>
      <c r="E471" s="68"/>
      <c r="F471" s="95"/>
      <c r="G471" s="21"/>
    </row>
    <row r="472" spans="2:7" s="32" customFormat="1" x14ac:dyDescent="0.25">
      <c r="B472" s="39"/>
      <c r="D472" s="59"/>
      <c r="E472" s="68"/>
      <c r="F472" s="95"/>
      <c r="G472" s="21"/>
    </row>
    <row r="473" spans="2:7" s="32" customFormat="1" x14ac:dyDescent="0.25">
      <c r="B473" s="39"/>
      <c r="D473" s="59"/>
      <c r="E473" s="68"/>
      <c r="F473" s="95"/>
      <c r="G473" s="21"/>
    </row>
    <row r="474" spans="2:7" s="32" customFormat="1" x14ac:dyDescent="0.25">
      <c r="B474" s="39"/>
      <c r="D474" s="59"/>
      <c r="E474" s="68"/>
      <c r="F474" s="95"/>
      <c r="G474" s="21"/>
    </row>
    <row r="475" spans="2:7" s="32" customFormat="1" x14ac:dyDescent="0.25">
      <c r="B475" s="39"/>
      <c r="D475" s="59"/>
      <c r="E475" s="68"/>
      <c r="F475" s="95"/>
      <c r="G475" s="21"/>
    </row>
    <row r="476" spans="2:7" s="32" customFormat="1" x14ac:dyDescent="0.25">
      <c r="B476" s="39"/>
      <c r="D476" s="59"/>
      <c r="E476" s="68"/>
      <c r="F476" s="95"/>
      <c r="G476" s="21"/>
    </row>
    <row r="477" spans="2:7" s="32" customFormat="1" x14ac:dyDescent="0.25">
      <c r="B477" s="39"/>
      <c r="D477" s="59"/>
      <c r="E477" s="68"/>
      <c r="F477" s="95"/>
      <c r="G477" s="21"/>
    </row>
    <row r="478" spans="2:7" s="32" customFormat="1" x14ac:dyDescent="0.25">
      <c r="B478" s="39"/>
      <c r="D478" s="59"/>
      <c r="E478" s="68"/>
      <c r="F478" s="95"/>
      <c r="G478" s="21"/>
    </row>
    <row r="479" spans="2:7" s="32" customFormat="1" x14ac:dyDescent="0.25">
      <c r="B479" s="39"/>
      <c r="D479" s="59"/>
      <c r="E479" s="68"/>
      <c r="F479" s="95"/>
      <c r="G479" s="21"/>
    </row>
    <row r="480" spans="2:7" s="32" customFormat="1" x14ac:dyDescent="0.25">
      <c r="B480" s="39"/>
      <c r="D480" s="59"/>
      <c r="E480" s="68"/>
      <c r="F480" s="95"/>
      <c r="G480" s="21"/>
    </row>
    <row r="481" spans="2:7" s="32" customFormat="1" x14ac:dyDescent="0.25">
      <c r="B481" s="39"/>
      <c r="D481" s="59"/>
      <c r="E481" s="68"/>
      <c r="F481" s="95"/>
      <c r="G481" s="21"/>
    </row>
    <row r="482" spans="2:7" s="32" customFormat="1" x14ac:dyDescent="0.25">
      <c r="B482" s="39"/>
      <c r="D482" s="59"/>
      <c r="E482" s="68"/>
      <c r="F482" s="95"/>
      <c r="G482" s="21"/>
    </row>
    <row r="483" spans="2:7" s="32" customFormat="1" x14ac:dyDescent="0.25">
      <c r="B483" s="39"/>
      <c r="D483" s="59"/>
      <c r="E483" s="68"/>
      <c r="F483" s="95"/>
      <c r="G483" s="21"/>
    </row>
    <row r="484" spans="2:7" s="32" customFormat="1" x14ac:dyDescent="0.25">
      <c r="B484" s="39"/>
      <c r="D484" s="59"/>
      <c r="E484" s="68"/>
      <c r="F484" s="95"/>
      <c r="G484" s="21"/>
    </row>
    <row r="485" spans="2:7" s="32" customFormat="1" x14ac:dyDescent="0.25">
      <c r="B485" s="39"/>
      <c r="D485" s="59"/>
      <c r="E485" s="68"/>
      <c r="F485" s="95"/>
      <c r="G485" s="21"/>
    </row>
    <row r="486" spans="2:7" s="32" customFormat="1" x14ac:dyDescent="0.25">
      <c r="B486" s="39"/>
      <c r="D486" s="59"/>
      <c r="E486" s="68"/>
      <c r="F486" s="95"/>
      <c r="G486" s="21"/>
    </row>
    <row r="487" spans="2:7" s="32" customFormat="1" x14ac:dyDescent="0.25">
      <c r="B487" s="39"/>
      <c r="D487" s="59"/>
      <c r="E487" s="68"/>
      <c r="F487" s="95"/>
      <c r="G487" s="21"/>
    </row>
    <row r="488" spans="2:7" s="32" customFormat="1" x14ac:dyDescent="0.25">
      <c r="B488" s="39"/>
      <c r="D488" s="59"/>
      <c r="E488" s="68"/>
      <c r="F488" s="95"/>
      <c r="G488" s="21"/>
    </row>
    <row r="489" spans="2:7" s="32" customFormat="1" x14ac:dyDescent="0.25">
      <c r="B489" s="39"/>
      <c r="D489" s="59"/>
      <c r="E489" s="68"/>
      <c r="F489" s="95"/>
      <c r="G489" s="21"/>
    </row>
    <row r="490" spans="2:7" s="32" customFormat="1" x14ac:dyDescent="0.25">
      <c r="B490" s="39"/>
      <c r="D490" s="59"/>
      <c r="E490" s="68"/>
      <c r="F490" s="95"/>
      <c r="G490" s="21"/>
    </row>
    <row r="491" spans="2:7" s="32" customFormat="1" x14ac:dyDescent="0.25">
      <c r="B491" s="39"/>
      <c r="D491" s="59"/>
      <c r="E491" s="68"/>
      <c r="F491" s="95"/>
      <c r="G491" s="21"/>
    </row>
    <row r="492" spans="2:7" s="32" customFormat="1" x14ac:dyDescent="0.25">
      <c r="B492" s="39"/>
      <c r="D492" s="59"/>
      <c r="E492" s="68"/>
      <c r="F492" s="95"/>
      <c r="G492" s="21"/>
    </row>
    <row r="493" spans="2:7" s="32" customFormat="1" x14ac:dyDescent="0.25">
      <c r="B493" s="39"/>
      <c r="D493" s="59"/>
      <c r="E493" s="68"/>
      <c r="F493" s="95"/>
      <c r="G493" s="21"/>
    </row>
    <row r="494" spans="2:7" s="32" customFormat="1" x14ac:dyDescent="0.25">
      <c r="B494" s="39"/>
      <c r="D494" s="59"/>
      <c r="E494" s="68"/>
      <c r="F494" s="95"/>
      <c r="G494" s="21"/>
    </row>
    <row r="495" spans="2:7" s="32" customFormat="1" x14ac:dyDescent="0.25">
      <c r="B495" s="39"/>
      <c r="D495" s="59"/>
      <c r="E495" s="68"/>
      <c r="F495" s="95"/>
      <c r="G495" s="21"/>
    </row>
    <row r="496" spans="2:7" s="32" customFormat="1" x14ac:dyDescent="0.25">
      <c r="B496" s="39"/>
      <c r="D496" s="59"/>
      <c r="E496" s="68"/>
      <c r="F496" s="95"/>
      <c r="G496" s="21"/>
    </row>
    <row r="497" spans="2:7" s="32" customFormat="1" x14ac:dyDescent="0.25">
      <c r="B497" s="39"/>
      <c r="D497" s="59"/>
      <c r="E497" s="68"/>
      <c r="F497" s="95"/>
      <c r="G497" s="21"/>
    </row>
    <row r="498" spans="2:7" s="32" customFormat="1" x14ac:dyDescent="0.25">
      <c r="B498" s="39"/>
      <c r="D498" s="59"/>
      <c r="E498" s="68"/>
      <c r="F498" s="95"/>
      <c r="G498" s="21"/>
    </row>
    <row r="499" spans="2:7" s="32" customFormat="1" x14ac:dyDescent="0.25">
      <c r="B499" s="39"/>
      <c r="D499" s="59"/>
      <c r="E499" s="68"/>
      <c r="F499" s="95"/>
      <c r="G499" s="21"/>
    </row>
    <row r="500" spans="2:7" s="32" customFormat="1" x14ac:dyDescent="0.25">
      <c r="B500" s="39"/>
      <c r="D500" s="59"/>
      <c r="E500" s="68"/>
      <c r="F500" s="95"/>
      <c r="G500" s="21"/>
    </row>
    <row r="501" spans="2:7" s="32" customFormat="1" x14ac:dyDescent="0.25">
      <c r="B501" s="39"/>
      <c r="D501" s="59"/>
      <c r="E501" s="68"/>
      <c r="F501" s="95"/>
      <c r="G501" s="21"/>
    </row>
    <row r="502" spans="2:7" s="32" customFormat="1" x14ac:dyDescent="0.25">
      <c r="B502" s="39"/>
      <c r="D502" s="59"/>
      <c r="E502" s="68"/>
      <c r="F502" s="95"/>
      <c r="G502" s="21"/>
    </row>
    <row r="503" spans="2:7" s="32" customFormat="1" x14ac:dyDescent="0.25">
      <c r="B503" s="39"/>
      <c r="D503" s="59"/>
      <c r="E503" s="68"/>
      <c r="F503" s="95"/>
      <c r="G503" s="21"/>
    </row>
    <row r="504" spans="2:7" s="32" customFormat="1" x14ac:dyDescent="0.25">
      <c r="B504" s="39"/>
      <c r="D504" s="59"/>
      <c r="E504" s="68"/>
      <c r="F504" s="95"/>
      <c r="G504" s="21"/>
    </row>
    <row r="505" spans="2:7" s="32" customFormat="1" x14ac:dyDescent="0.25">
      <c r="B505" s="39"/>
      <c r="D505" s="59"/>
      <c r="E505" s="68"/>
      <c r="F505" s="95"/>
      <c r="G505" s="21"/>
    </row>
    <row r="506" spans="2:7" s="32" customFormat="1" x14ac:dyDescent="0.25">
      <c r="B506" s="39"/>
      <c r="D506" s="59"/>
      <c r="E506" s="68"/>
      <c r="F506" s="95"/>
      <c r="G506" s="21"/>
    </row>
    <row r="507" spans="2:7" s="32" customFormat="1" x14ac:dyDescent="0.25">
      <c r="B507" s="39"/>
      <c r="D507" s="59"/>
      <c r="E507" s="68"/>
      <c r="F507" s="95"/>
      <c r="G507" s="21"/>
    </row>
    <row r="508" spans="2:7" s="32" customFormat="1" x14ac:dyDescent="0.25">
      <c r="B508" s="39"/>
      <c r="D508" s="59"/>
      <c r="E508" s="68"/>
      <c r="F508" s="95"/>
      <c r="G508" s="21"/>
    </row>
    <row r="509" spans="2:7" s="32" customFormat="1" x14ac:dyDescent="0.25">
      <c r="B509" s="39"/>
      <c r="D509" s="59"/>
      <c r="E509" s="68"/>
      <c r="F509" s="95"/>
      <c r="G509" s="21"/>
    </row>
    <row r="510" spans="2:7" s="32" customFormat="1" x14ac:dyDescent="0.25">
      <c r="B510" s="39"/>
      <c r="D510" s="59"/>
      <c r="E510" s="68"/>
      <c r="F510" s="95"/>
      <c r="G510" s="21"/>
    </row>
    <row r="511" spans="2:7" s="32" customFormat="1" x14ac:dyDescent="0.25">
      <c r="B511" s="39"/>
      <c r="D511" s="59"/>
      <c r="E511" s="68"/>
      <c r="F511" s="95"/>
      <c r="G511" s="21"/>
    </row>
    <row r="512" spans="2:7" s="32" customFormat="1" x14ac:dyDescent="0.25">
      <c r="B512" s="39"/>
      <c r="D512" s="59"/>
      <c r="E512" s="68"/>
      <c r="F512" s="95"/>
      <c r="G512" s="21"/>
    </row>
    <row r="513" spans="2:7" s="32" customFormat="1" x14ac:dyDescent="0.25">
      <c r="B513" s="39"/>
      <c r="D513" s="59"/>
      <c r="E513" s="68"/>
      <c r="F513" s="95"/>
      <c r="G513" s="21"/>
    </row>
    <row r="514" spans="2:7" s="32" customFormat="1" x14ac:dyDescent="0.25">
      <c r="B514" s="39"/>
      <c r="D514" s="59"/>
      <c r="E514" s="68"/>
      <c r="F514" s="95"/>
      <c r="G514" s="21"/>
    </row>
    <row r="515" spans="2:7" s="32" customFormat="1" x14ac:dyDescent="0.25">
      <c r="B515" s="39"/>
      <c r="D515" s="59"/>
      <c r="E515" s="68"/>
      <c r="F515" s="95"/>
      <c r="G515" s="21"/>
    </row>
    <row r="516" spans="2:7" s="32" customFormat="1" x14ac:dyDescent="0.25">
      <c r="B516" s="39"/>
      <c r="D516" s="59"/>
      <c r="E516" s="68"/>
      <c r="F516" s="95"/>
      <c r="G516" s="21"/>
    </row>
    <row r="517" spans="2:7" s="32" customFormat="1" x14ac:dyDescent="0.25">
      <c r="B517" s="39"/>
      <c r="D517" s="59"/>
      <c r="E517" s="68"/>
      <c r="F517" s="95"/>
      <c r="G517" s="21"/>
    </row>
    <row r="518" spans="2:7" s="32" customFormat="1" x14ac:dyDescent="0.25">
      <c r="B518" s="39"/>
      <c r="D518" s="59"/>
      <c r="E518" s="68"/>
      <c r="F518" s="95"/>
      <c r="G518" s="21"/>
    </row>
    <row r="519" spans="2:7" s="32" customFormat="1" x14ac:dyDescent="0.25">
      <c r="B519" s="39"/>
      <c r="D519" s="59"/>
      <c r="E519" s="68"/>
      <c r="F519" s="95"/>
      <c r="G519" s="21"/>
    </row>
    <row r="520" spans="2:7" s="32" customFormat="1" x14ac:dyDescent="0.25">
      <c r="B520" s="39"/>
      <c r="D520" s="59"/>
      <c r="E520" s="68"/>
      <c r="F520" s="95"/>
      <c r="G520" s="21"/>
    </row>
    <row r="521" spans="2:7" s="32" customFormat="1" x14ac:dyDescent="0.25">
      <c r="B521" s="39"/>
      <c r="D521" s="59"/>
      <c r="E521" s="68"/>
      <c r="F521" s="95"/>
      <c r="G521" s="21"/>
    </row>
    <row r="522" spans="2:7" s="32" customFormat="1" x14ac:dyDescent="0.25">
      <c r="B522" s="39"/>
      <c r="D522" s="59"/>
      <c r="E522" s="68"/>
      <c r="F522" s="95"/>
      <c r="G522" s="21"/>
    </row>
    <row r="523" spans="2:7" s="32" customFormat="1" x14ac:dyDescent="0.25">
      <c r="B523" s="39"/>
      <c r="D523" s="59"/>
      <c r="E523" s="68"/>
      <c r="F523" s="95"/>
      <c r="G523" s="21"/>
    </row>
    <row r="524" spans="2:7" s="32" customFormat="1" x14ac:dyDescent="0.25">
      <c r="B524" s="39"/>
      <c r="D524" s="59"/>
      <c r="E524" s="68"/>
      <c r="F524" s="95"/>
      <c r="G524" s="21"/>
    </row>
    <row r="525" spans="2:7" s="32" customFormat="1" x14ac:dyDescent="0.25">
      <c r="B525" s="39"/>
      <c r="D525" s="59"/>
      <c r="E525" s="68"/>
      <c r="F525" s="95"/>
      <c r="G525" s="21"/>
    </row>
    <row r="526" spans="2:7" s="32" customFormat="1" x14ac:dyDescent="0.25">
      <c r="B526" s="39"/>
      <c r="D526" s="59"/>
      <c r="E526" s="68"/>
      <c r="F526" s="95"/>
      <c r="G526" s="21"/>
    </row>
    <row r="527" spans="2:7" s="32" customFormat="1" x14ac:dyDescent="0.25">
      <c r="B527" s="39"/>
      <c r="D527" s="59"/>
      <c r="E527" s="68"/>
      <c r="F527" s="95"/>
      <c r="G527" s="21"/>
    </row>
    <row r="528" spans="2:7" s="32" customFormat="1" x14ac:dyDescent="0.25">
      <c r="B528" s="39"/>
      <c r="D528" s="59"/>
      <c r="E528" s="68"/>
      <c r="F528" s="95"/>
      <c r="G528" s="21"/>
    </row>
    <row r="529" spans="2:7" s="32" customFormat="1" x14ac:dyDescent="0.25">
      <c r="B529" s="39"/>
      <c r="D529" s="59"/>
      <c r="E529" s="68"/>
      <c r="F529" s="95"/>
      <c r="G529" s="21"/>
    </row>
    <row r="530" spans="2:7" s="32" customFormat="1" x14ac:dyDescent="0.25">
      <c r="B530" s="39"/>
      <c r="D530" s="59"/>
      <c r="E530" s="68"/>
      <c r="F530" s="95"/>
      <c r="G530" s="21"/>
    </row>
    <row r="531" spans="2:7" s="32" customFormat="1" x14ac:dyDescent="0.25">
      <c r="B531" s="39"/>
      <c r="D531" s="59"/>
      <c r="E531" s="68"/>
      <c r="F531" s="95"/>
      <c r="G531" s="21"/>
    </row>
    <row r="532" spans="2:7" s="32" customFormat="1" x14ac:dyDescent="0.25">
      <c r="B532" s="39"/>
      <c r="D532" s="59"/>
      <c r="E532" s="68"/>
      <c r="F532" s="95"/>
      <c r="G532" s="21"/>
    </row>
    <row r="533" spans="2:7" s="32" customFormat="1" x14ac:dyDescent="0.25">
      <c r="B533" s="39"/>
      <c r="D533" s="59"/>
      <c r="E533" s="68"/>
      <c r="F533" s="95"/>
      <c r="G533" s="21"/>
    </row>
    <row r="534" spans="2:7" s="32" customFormat="1" x14ac:dyDescent="0.25">
      <c r="B534" s="39"/>
      <c r="D534" s="59"/>
      <c r="E534" s="68"/>
      <c r="F534" s="95"/>
      <c r="G534" s="21"/>
    </row>
    <row r="535" spans="2:7" s="32" customFormat="1" x14ac:dyDescent="0.25">
      <c r="B535" s="39"/>
      <c r="D535" s="59"/>
      <c r="E535" s="68"/>
      <c r="F535" s="95"/>
      <c r="G535" s="21"/>
    </row>
    <row r="536" spans="2:7" s="32" customFormat="1" x14ac:dyDescent="0.25">
      <c r="B536" s="39"/>
      <c r="D536" s="59"/>
      <c r="E536" s="68"/>
      <c r="F536" s="95"/>
      <c r="G536" s="21"/>
    </row>
    <row r="537" spans="2:7" s="32" customFormat="1" x14ac:dyDescent="0.25">
      <c r="B537" s="39"/>
      <c r="D537" s="59"/>
      <c r="E537" s="68"/>
      <c r="F537" s="95"/>
      <c r="G537" s="21"/>
    </row>
    <row r="538" spans="2:7" s="32" customFormat="1" x14ac:dyDescent="0.25">
      <c r="B538" s="39"/>
      <c r="D538" s="59"/>
      <c r="E538" s="68"/>
      <c r="F538" s="95"/>
      <c r="G538" s="21"/>
    </row>
    <row r="539" spans="2:7" s="32" customFormat="1" x14ac:dyDescent="0.25">
      <c r="B539" s="39"/>
      <c r="D539" s="59"/>
      <c r="E539" s="68"/>
      <c r="F539" s="95"/>
      <c r="G539" s="21"/>
    </row>
    <row r="540" spans="2:7" s="32" customFormat="1" x14ac:dyDescent="0.25">
      <c r="B540" s="39"/>
      <c r="D540" s="59"/>
      <c r="E540" s="68"/>
      <c r="F540" s="95"/>
      <c r="G540" s="21"/>
    </row>
    <row r="541" spans="2:7" s="32" customFormat="1" x14ac:dyDescent="0.25">
      <c r="B541" s="39"/>
      <c r="D541" s="59"/>
      <c r="E541" s="68"/>
      <c r="F541" s="95"/>
      <c r="G541" s="21"/>
    </row>
    <row r="542" spans="2:7" s="32" customFormat="1" x14ac:dyDescent="0.25">
      <c r="B542" s="39"/>
      <c r="D542" s="59"/>
      <c r="E542" s="68"/>
      <c r="F542" s="95"/>
      <c r="G542" s="21"/>
    </row>
    <row r="543" spans="2:7" s="32" customFormat="1" x14ac:dyDescent="0.25">
      <c r="B543" s="39"/>
      <c r="D543" s="59"/>
      <c r="E543" s="68"/>
      <c r="F543" s="95"/>
      <c r="G543" s="21"/>
    </row>
    <row r="544" spans="2:7" s="32" customFormat="1" x14ac:dyDescent="0.25">
      <c r="B544" s="39"/>
      <c r="D544" s="59"/>
      <c r="E544" s="68"/>
      <c r="F544" s="95"/>
      <c r="G544" s="21"/>
    </row>
    <row r="545" spans="2:7" s="32" customFormat="1" x14ac:dyDescent="0.25">
      <c r="B545" s="39"/>
      <c r="D545" s="59"/>
      <c r="E545" s="68"/>
      <c r="F545" s="95"/>
      <c r="G545" s="21"/>
    </row>
    <row r="546" spans="2:7" s="32" customFormat="1" x14ac:dyDescent="0.25">
      <c r="B546" s="39"/>
      <c r="D546" s="59"/>
      <c r="E546" s="68"/>
      <c r="F546" s="95"/>
      <c r="G546" s="21"/>
    </row>
    <row r="547" spans="2:7" s="32" customFormat="1" x14ac:dyDescent="0.25">
      <c r="B547" s="39"/>
      <c r="D547" s="59"/>
      <c r="E547" s="68"/>
      <c r="F547" s="95"/>
      <c r="G547" s="21"/>
    </row>
    <row r="548" spans="2:7" s="32" customFormat="1" x14ac:dyDescent="0.25">
      <c r="B548" s="39"/>
      <c r="D548" s="59"/>
      <c r="E548" s="68"/>
      <c r="F548" s="95"/>
      <c r="G548" s="21"/>
    </row>
    <row r="549" spans="2:7" s="32" customFormat="1" x14ac:dyDescent="0.25">
      <c r="B549" s="39"/>
      <c r="D549" s="59"/>
      <c r="E549" s="68"/>
      <c r="F549" s="95"/>
      <c r="G549" s="21"/>
    </row>
    <row r="550" spans="2:7" s="32" customFormat="1" x14ac:dyDescent="0.25">
      <c r="B550" s="39"/>
      <c r="D550" s="59"/>
      <c r="E550" s="68"/>
      <c r="F550" s="95"/>
      <c r="G550" s="21"/>
    </row>
    <row r="551" spans="2:7" s="32" customFormat="1" x14ac:dyDescent="0.25">
      <c r="B551" s="39"/>
      <c r="D551" s="59"/>
      <c r="E551" s="68"/>
      <c r="F551" s="95"/>
      <c r="G551" s="21"/>
    </row>
    <row r="552" spans="2:7" s="32" customFormat="1" x14ac:dyDescent="0.25">
      <c r="B552" s="39"/>
      <c r="D552" s="59"/>
      <c r="E552" s="68"/>
      <c r="F552" s="95"/>
      <c r="G552" s="21"/>
    </row>
    <row r="553" spans="2:7" s="32" customFormat="1" x14ac:dyDescent="0.25">
      <c r="B553" s="39"/>
      <c r="D553" s="59"/>
      <c r="E553" s="68"/>
      <c r="F553" s="95"/>
      <c r="G553" s="21"/>
    </row>
    <row r="554" spans="2:7" s="32" customFormat="1" x14ac:dyDescent="0.25">
      <c r="B554" s="39"/>
      <c r="D554" s="59"/>
      <c r="E554" s="68"/>
      <c r="F554" s="95"/>
      <c r="G554" s="21"/>
    </row>
    <row r="555" spans="2:7" s="32" customFormat="1" x14ac:dyDescent="0.25">
      <c r="B555" s="39"/>
      <c r="D555" s="59"/>
      <c r="E555" s="68"/>
      <c r="F555" s="95"/>
      <c r="G555" s="21"/>
    </row>
    <row r="556" spans="2:7" s="32" customFormat="1" x14ac:dyDescent="0.25">
      <c r="B556" s="39"/>
      <c r="D556" s="59"/>
      <c r="E556" s="68"/>
      <c r="F556" s="95"/>
      <c r="G556" s="21"/>
    </row>
    <row r="557" spans="2:7" s="32" customFormat="1" x14ac:dyDescent="0.25">
      <c r="B557" s="39"/>
      <c r="D557" s="59"/>
      <c r="E557" s="68"/>
      <c r="F557" s="95"/>
      <c r="G557" s="21"/>
    </row>
    <row r="558" spans="2:7" s="32" customFormat="1" x14ac:dyDescent="0.25">
      <c r="B558" s="39"/>
      <c r="D558" s="59"/>
      <c r="E558" s="68"/>
      <c r="F558" s="95"/>
      <c r="G558" s="21"/>
    </row>
    <row r="559" spans="2:7" s="32" customFormat="1" x14ac:dyDescent="0.25">
      <c r="B559" s="39"/>
      <c r="D559" s="59"/>
      <c r="E559" s="68"/>
      <c r="F559" s="95"/>
      <c r="G559" s="21"/>
    </row>
    <row r="560" spans="2:7" s="32" customFormat="1" x14ac:dyDescent="0.25">
      <c r="B560" s="39"/>
      <c r="D560" s="59"/>
      <c r="E560" s="68"/>
      <c r="F560" s="95"/>
      <c r="G560" s="21"/>
    </row>
    <row r="561" spans="2:7" s="32" customFormat="1" x14ac:dyDescent="0.25">
      <c r="B561" s="39"/>
      <c r="D561" s="59"/>
      <c r="E561" s="68"/>
      <c r="F561" s="95"/>
      <c r="G561" s="21"/>
    </row>
    <row r="562" spans="2:7" s="32" customFormat="1" x14ac:dyDescent="0.25">
      <c r="B562" s="39"/>
      <c r="D562" s="59"/>
      <c r="E562" s="68"/>
      <c r="F562" s="95"/>
      <c r="G562" s="21"/>
    </row>
    <row r="563" spans="2:7" s="32" customFormat="1" x14ac:dyDescent="0.25">
      <c r="B563" s="39"/>
      <c r="D563" s="59"/>
      <c r="E563" s="68"/>
      <c r="F563" s="95"/>
      <c r="G563" s="21"/>
    </row>
    <row r="564" spans="2:7" s="32" customFormat="1" x14ac:dyDescent="0.25">
      <c r="B564" s="39"/>
      <c r="D564" s="59"/>
      <c r="E564" s="68"/>
      <c r="F564" s="95"/>
      <c r="G564" s="21"/>
    </row>
    <row r="565" spans="2:7" s="32" customFormat="1" x14ac:dyDescent="0.25">
      <c r="B565" s="39"/>
      <c r="D565" s="59"/>
      <c r="E565" s="68"/>
      <c r="F565" s="95"/>
      <c r="G565" s="21"/>
    </row>
    <row r="566" spans="2:7" s="32" customFormat="1" x14ac:dyDescent="0.25">
      <c r="B566" s="39"/>
      <c r="D566" s="59"/>
      <c r="E566" s="68"/>
      <c r="F566" s="95"/>
      <c r="G566" s="21"/>
    </row>
    <row r="567" spans="2:7" s="32" customFormat="1" x14ac:dyDescent="0.25">
      <c r="B567" s="39"/>
      <c r="D567" s="59"/>
      <c r="E567" s="68"/>
      <c r="F567" s="95"/>
      <c r="G567" s="21"/>
    </row>
    <row r="568" spans="2:7" s="32" customFormat="1" x14ac:dyDescent="0.25">
      <c r="B568" s="39"/>
      <c r="D568" s="59"/>
      <c r="E568" s="68"/>
      <c r="F568" s="95"/>
      <c r="G568" s="21"/>
    </row>
    <row r="569" spans="2:7" s="32" customFormat="1" x14ac:dyDescent="0.25">
      <c r="B569" s="39"/>
      <c r="D569" s="59"/>
      <c r="E569" s="68"/>
      <c r="F569" s="95"/>
      <c r="G569" s="21"/>
    </row>
    <row r="570" spans="2:7" s="32" customFormat="1" x14ac:dyDescent="0.25">
      <c r="B570" s="39"/>
      <c r="D570" s="59"/>
      <c r="E570" s="68"/>
      <c r="F570" s="95"/>
      <c r="G570" s="21"/>
    </row>
    <row r="571" spans="2:7" s="32" customFormat="1" x14ac:dyDescent="0.25">
      <c r="B571" s="39"/>
      <c r="D571" s="59"/>
      <c r="E571" s="68"/>
      <c r="F571" s="95"/>
      <c r="G571" s="21"/>
    </row>
    <row r="572" spans="2:7" s="32" customFormat="1" x14ac:dyDescent="0.25">
      <c r="B572" s="39"/>
      <c r="D572" s="59"/>
      <c r="E572" s="68"/>
      <c r="F572" s="95"/>
      <c r="G572" s="21"/>
    </row>
    <row r="573" spans="2:7" s="32" customFormat="1" x14ac:dyDescent="0.25">
      <c r="B573" s="39"/>
      <c r="D573" s="59"/>
      <c r="E573" s="68"/>
      <c r="F573" s="95"/>
      <c r="G573" s="21"/>
    </row>
    <row r="574" spans="2:7" s="32" customFormat="1" x14ac:dyDescent="0.25">
      <c r="B574" s="39"/>
      <c r="D574" s="59"/>
      <c r="E574" s="68"/>
      <c r="F574" s="95"/>
      <c r="G574" s="21"/>
    </row>
    <row r="575" spans="2:7" s="32" customFormat="1" x14ac:dyDescent="0.25">
      <c r="B575" s="39"/>
      <c r="D575" s="59"/>
      <c r="E575" s="68"/>
      <c r="F575" s="95"/>
      <c r="G575" s="21"/>
    </row>
    <row r="576" spans="2:7" s="32" customFormat="1" x14ac:dyDescent="0.25">
      <c r="B576" s="39"/>
      <c r="D576" s="59"/>
      <c r="E576" s="68"/>
      <c r="F576" s="95"/>
      <c r="G576" s="21"/>
    </row>
    <row r="577" spans="2:7" s="32" customFormat="1" x14ac:dyDescent="0.25">
      <c r="B577" s="39"/>
      <c r="D577" s="59"/>
      <c r="E577" s="68"/>
      <c r="F577" s="95"/>
      <c r="G577" s="21"/>
    </row>
    <row r="578" spans="2:7" s="32" customFormat="1" x14ac:dyDescent="0.25">
      <c r="B578" s="39"/>
      <c r="D578" s="59"/>
      <c r="E578" s="68"/>
      <c r="F578" s="95"/>
      <c r="G578" s="21"/>
    </row>
    <row r="579" spans="2:7" s="32" customFormat="1" x14ac:dyDescent="0.25">
      <c r="B579" s="39"/>
      <c r="D579" s="59"/>
      <c r="E579" s="68"/>
      <c r="F579" s="95"/>
      <c r="G579" s="21"/>
    </row>
    <row r="580" spans="2:7" s="32" customFormat="1" x14ac:dyDescent="0.25">
      <c r="B580" s="39"/>
      <c r="D580" s="59"/>
      <c r="E580" s="68"/>
      <c r="F580" s="95"/>
      <c r="G580" s="21"/>
    </row>
    <row r="581" spans="2:7" s="32" customFormat="1" x14ac:dyDescent="0.25">
      <c r="B581" s="39"/>
      <c r="D581" s="59"/>
      <c r="E581" s="68"/>
      <c r="F581" s="95"/>
      <c r="G581" s="21"/>
    </row>
    <row r="582" spans="2:7" s="32" customFormat="1" x14ac:dyDescent="0.25">
      <c r="B582" s="39"/>
      <c r="D582" s="59"/>
      <c r="E582" s="68"/>
      <c r="F582" s="95"/>
      <c r="G582" s="21"/>
    </row>
    <row r="583" spans="2:7" s="32" customFormat="1" x14ac:dyDescent="0.25">
      <c r="B583" s="39"/>
      <c r="D583" s="59"/>
      <c r="E583" s="68"/>
      <c r="F583" s="95"/>
      <c r="G583" s="21"/>
    </row>
    <row r="584" spans="2:7" s="32" customFormat="1" x14ac:dyDescent="0.25">
      <c r="B584" s="39"/>
      <c r="D584" s="59"/>
      <c r="E584" s="68"/>
      <c r="F584" s="95"/>
      <c r="G584" s="21"/>
    </row>
    <row r="585" spans="2:7" s="32" customFormat="1" x14ac:dyDescent="0.25">
      <c r="B585" s="39"/>
      <c r="D585" s="59"/>
      <c r="E585" s="68"/>
      <c r="F585" s="95"/>
      <c r="G585" s="21"/>
    </row>
    <row r="586" spans="2:7" s="32" customFormat="1" x14ac:dyDescent="0.25">
      <c r="B586" s="39"/>
      <c r="D586" s="59"/>
      <c r="E586" s="68"/>
      <c r="F586" s="95"/>
      <c r="G586" s="21"/>
    </row>
    <row r="587" spans="2:7" s="32" customFormat="1" x14ac:dyDescent="0.25">
      <c r="B587" s="39"/>
      <c r="D587" s="59"/>
      <c r="E587" s="68"/>
      <c r="F587" s="95"/>
      <c r="G587" s="21"/>
    </row>
    <row r="588" spans="2:7" s="32" customFormat="1" x14ac:dyDescent="0.25">
      <c r="B588" s="39"/>
      <c r="D588" s="59"/>
      <c r="E588" s="68"/>
      <c r="F588" s="95"/>
      <c r="G588" s="21"/>
    </row>
    <row r="589" spans="2:7" s="32" customFormat="1" x14ac:dyDescent="0.25">
      <c r="B589" s="39"/>
      <c r="D589" s="59"/>
      <c r="E589" s="68"/>
      <c r="F589" s="95"/>
      <c r="G589" s="21"/>
    </row>
    <row r="590" spans="2:7" s="32" customFormat="1" x14ac:dyDescent="0.25">
      <c r="B590" s="39"/>
      <c r="D590" s="59"/>
      <c r="E590" s="68"/>
      <c r="F590" s="95"/>
      <c r="G590" s="21"/>
    </row>
    <row r="591" spans="2:7" s="32" customFormat="1" x14ac:dyDescent="0.25">
      <c r="B591" s="39"/>
      <c r="D591" s="59"/>
      <c r="E591" s="68"/>
      <c r="F591" s="95"/>
      <c r="G591" s="21"/>
    </row>
    <row r="592" spans="2:7" s="32" customFormat="1" x14ac:dyDescent="0.25">
      <c r="B592" s="39"/>
      <c r="D592" s="59"/>
      <c r="E592" s="68"/>
      <c r="F592" s="95"/>
      <c r="G592" s="21"/>
    </row>
    <row r="593" spans="2:7" s="32" customFormat="1" x14ac:dyDescent="0.25">
      <c r="B593" s="39"/>
      <c r="D593" s="59"/>
      <c r="E593" s="68"/>
      <c r="F593" s="95"/>
      <c r="G593" s="21"/>
    </row>
    <row r="594" spans="2:7" s="32" customFormat="1" x14ac:dyDescent="0.25">
      <c r="B594" s="39"/>
      <c r="D594" s="59"/>
      <c r="E594" s="68"/>
      <c r="F594" s="95"/>
      <c r="G594" s="21"/>
    </row>
    <row r="595" spans="2:7" s="32" customFormat="1" x14ac:dyDescent="0.25">
      <c r="B595" s="39"/>
      <c r="D595" s="59"/>
      <c r="E595" s="68"/>
      <c r="F595" s="95"/>
      <c r="G595" s="21"/>
    </row>
    <row r="596" spans="2:7" s="32" customFormat="1" x14ac:dyDescent="0.25">
      <c r="B596" s="39"/>
      <c r="D596" s="59"/>
      <c r="E596" s="68"/>
      <c r="F596" s="95"/>
      <c r="G596" s="21"/>
    </row>
    <row r="597" spans="2:7" s="32" customFormat="1" x14ac:dyDescent="0.25">
      <c r="B597" s="39"/>
      <c r="D597" s="59"/>
      <c r="E597" s="68"/>
      <c r="F597" s="95"/>
      <c r="G597" s="21"/>
    </row>
    <row r="598" spans="2:7" s="32" customFormat="1" x14ac:dyDescent="0.25">
      <c r="B598" s="39"/>
      <c r="D598" s="59"/>
      <c r="E598" s="68"/>
      <c r="F598" s="95"/>
      <c r="G598" s="21"/>
    </row>
    <row r="599" spans="2:7" s="32" customFormat="1" x14ac:dyDescent="0.25">
      <c r="B599" s="39"/>
      <c r="D599" s="59"/>
      <c r="E599" s="68"/>
      <c r="F599" s="95"/>
      <c r="G599" s="21"/>
    </row>
    <row r="600" spans="2:7" s="32" customFormat="1" x14ac:dyDescent="0.25">
      <c r="B600" s="39"/>
      <c r="D600" s="59"/>
      <c r="E600" s="68"/>
      <c r="F600" s="95"/>
      <c r="G600" s="21"/>
    </row>
    <row r="601" spans="2:7" s="32" customFormat="1" x14ac:dyDescent="0.25">
      <c r="B601" s="39"/>
      <c r="D601" s="59"/>
      <c r="E601" s="68"/>
      <c r="F601" s="95"/>
      <c r="G601" s="21"/>
    </row>
    <row r="602" spans="2:7" s="32" customFormat="1" x14ac:dyDescent="0.25">
      <c r="B602" s="39"/>
      <c r="D602" s="59"/>
      <c r="E602" s="68"/>
      <c r="F602" s="95"/>
      <c r="G602" s="21"/>
    </row>
    <row r="603" spans="2:7" s="32" customFormat="1" x14ac:dyDescent="0.25">
      <c r="B603" s="39"/>
      <c r="D603" s="59"/>
      <c r="E603" s="68"/>
      <c r="F603" s="95"/>
      <c r="G603" s="21"/>
    </row>
    <row r="604" spans="2:7" s="32" customFormat="1" x14ac:dyDescent="0.25">
      <c r="B604" s="39"/>
      <c r="D604" s="59"/>
      <c r="E604" s="68"/>
      <c r="F604" s="95"/>
      <c r="G604" s="21"/>
    </row>
    <row r="605" spans="2:7" s="32" customFormat="1" x14ac:dyDescent="0.25">
      <c r="B605" s="39"/>
      <c r="D605" s="59"/>
      <c r="E605" s="68"/>
      <c r="F605" s="95"/>
      <c r="G605" s="21"/>
    </row>
    <row r="606" spans="2:7" s="32" customFormat="1" x14ac:dyDescent="0.25">
      <c r="B606" s="39"/>
      <c r="D606" s="59"/>
      <c r="E606" s="68"/>
      <c r="F606" s="95"/>
      <c r="G606" s="21"/>
    </row>
    <row r="607" spans="2:7" s="32" customFormat="1" x14ac:dyDescent="0.25">
      <c r="B607" s="39"/>
      <c r="D607" s="59"/>
      <c r="E607" s="68"/>
      <c r="F607" s="95"/>
      <c r="G607" s="21"/>
    </row>
    <row r="608" spans="2:7" s="32" customFormat="1" x14ac:dyDescent="0.25">
      <c r="B608" s="39"/>
      <c r="D608" s="59"/>
      <c r="E608" s="68"/>
      <c r="F608" s="95"/>
      <c r="G608" s="21"/>
    </row>
    <row r="609" spans="2:7" s="32" customFormat="1" x14ac:dyDescent="0.25">
      <c r="B609" s="39"/>
      <c r="D609" s="59"/>
      <c r="E609" s="68"/>
      <c r="F609" s="95"/>
      <c r="G609" s="21"/>
    </row>
    <row r="610" spans="2:7" s="32" customFormat="1" x14ac:dyDescent="0.25">
      <c r="B610" s="39"/>
      <c r="D610" s="59"/>
      <c r="E610" s="68"/>
      <c r="F610" s="95"/>
      <c r="G610" s="21"/>
    </row>
    <row r="611" spans="2:7" s="32" customFormat="1" x14ac:dyDescent="0.25">
      <c r="B611" s="39"/>
      <c r="D611" s="59"/>
      <c r="E611" s="68"/>
      <c r="F611" s="95"/>
      <c r="G611" s="21"/>
    </row>
    <row r="612" spans="2:7" s="32" customFormat="1" x14ac:dyDescent="0.25">
      <c r="B612" s="39"/>
      <c r="D612" s="59"/>
      <c r="E612" s="68"/>
      <c r="F612" s="95"/>
      <c r="G612" s="21"/>
    </row>
    <row r="613" spans="2:7" s="32" customFormat="1" x14ac:dyDescent="0.25">
      <c r="B613" s="39"/>
      <c r="D613" s="59"/>
      <c r="E613" s="68"/>
      <c r="F613" s="95"/>
      <c r="G613" s="21"/>
    </row>
    <row r="614" spans="2:7" s="32" customFormat="1" x14ac:dyDescent="0.25">
      <c r="B614" s="39"/>
      <c r="D614" s="59"/>
      <c r="E614" s="68"/>
      <c r="F614" s="95"/>
      <c r="G614" s="21"/>
    </row>
    <row r="615" spans="2:7" s="32" customFormat="1" x14ac:dyDescent="0.25">
      <c r="B615" s="39"/>
      <c r="D615" s="59"/>
      <c r="E615" s="68"/>
      <c r="F615" s="95"/>
      <c r="G615" s="21"/>
    </row>
    <row r="616" spans="2:7" s="32" customFormat="1" x14ac:dyDescent="0.25">
      <c r="B616" s="39"/>
      <c r="D616" s="59"/>
      <c r="E616" s="68"/>
      <c r="F616" s="95"/>
      <c r="G616" s="21"/>
    </row>
    <row r="617" spans="2:7" s="32" customFormat="1" x14ac:dyDescent="0.25">
      <c r="B617" s="39"/>
      <c r="D617" s="59"/>
      <c r="E617" s="68"/>
      <c r="F617" s="95"/>
      <c r="G617" s="21"/>
    </row>
    <row r="618" spans="2:7" s="32" customFormat="1" x14ac:dyDescent="0.25">
      <c r="B618" s="39"/>
      <c r="D618" s="59"/>
      <c r="E618" s="68"/>
      <c r="F618" s="95"/>
      <c r="G618" s="21"/>
    </row>
    <row r="619" spans="2:7" s="32" customFormat="1" x14ac:dyDescent="0.25">
      <c r="B619" s="39"/>
      <c r="D619" s="59"/>
      <c r="E619" s="68"/>
      <c r="F619" s="95"/>
      <c r="G619" s="21"/>
    </row>
    <row r="620" spans="2:7" s="32" customFormat="1" x14ac:dyDescent="0.25">
      <c r="B620" s="39"/>
      <c r="D620" s="59"/>
      <c r="E620" s="68"/>
      <c r="F620" s="95"/>
      <c r="G620" s="21"/>
    </row>
    <row r="621" spans="2:7" s="32" customFormat="1" x14ac:dyDescent="0.25">
      <c r="B621" s="39"/>
      <c r="D621" s="59"/>
      <c r="E621" s="68"/>
      <c r="F621" s="95"/>
      <c r="G621" s="21"/>
    </row>
    <row r="622" spans="2:7" s="32" customFormat="1" x14ac:dyDescent="0.25">
      <c r="B622" s="39"/>
      <c r="D622" s="59"/>
      <c r="E622" s="68"/>
      <c r="F622" s="95"/>
      <c r="G622" s="21"/>
    </row>
    <row r="623" spans="2:7" s="32" customFormat="1" x14ac:dyDescent="0.25">
      <c r="B623" s="39"/>
      <c r="D623" s="59"/>
      <c r="E623" s="68"/>
      <c r="F623" s="95"/>
      <c r="G623" s="21"/>
    </row>
    <row r="624" spans="2:7" s="32" customFormat="1" x14ac:dyDescent="0.25">
      <c r="B624" s="39"/>
      <c r="D624" s="59"/>
      <c r="E624" s="68"/>
      <c r="F624" s="95"/>
      <c r="G624" s="21"/>
    </row>
    <row r="625" spans="2:7" s="32" customFormat="1" x14ac:dyDescent="0.25">
      <c r="B625" s="39"/>
      <c r="D625" s="59"/>
      <c r="E625" s="68"/>
      <c r="F625" s="95"/>
      <c r="G625" s="21"/>
    </row>
    <row r="626" spans="2:7" s="32" customFormat="1" x14ac:dyDescent="0.25">
      <c r="B626" s="39"/>
      <c r="D626" s="59"/>
      <c r="E626" s="68"/>
      <c r="F626" s="95"/>
      <c r="G626" s="21"/>
    </row>
    <row r="627" spans="2:7" s="32" customFormat="1" x14ac:dyDescent="0.25">
      <c r="B627" s="39"/>
      <c r="D627" s="59"/>
      <c r="E627" s="68"/>
      <c r="F627" s="95"/>
      <c r="G627" s="21"/>
    </row>
    <row r="628" spans="2:7" s="32" customFormat="1" x14ac:dyDescent="0.25">
      <c r="B628" s="39"/>
      <c r="D628" s="59"/>
      <c r="E628" s="68"/>
      <c r="F628" s="95"/>
      <c r="G628" s="21"/>
    </row>
    <row r="629" spans="2:7" s="32" customFormat="1" x14ac:dyDescent="0.25">
      <c r="B629" s="39"/>
      <c r="D629" s="59"/>
      <c r="E629" s="68"/>
      <c r="F629" s="95"/>
      <c r="G629" s="21"/>
    </row>
    <row r="630" spans="2:7" s="32" customFormat="1" x14ac:dyDescent="0.25">
      <c r="B630" s="39"/>
      <c r="D630" s="59"/>
      <c r="E630" s="68"/>
      <c r="F630" s="95"/>
      <c r="G630" s="21"/>
    </row>
    <row r="631" spans="2:7" s="32" customFormat="1" x14ac:dyDescent="0.25">
      <c r="B631" s="39"/>
      <c r="D631" s="59"/>
      <c r="E631" s="68"/>
      <c r="F631" s="95"/>
      <c r="G631" s="21"/>
    </row>
    <row r="632" spans="2:7" s="32" customFormat="1" x14ac:dyDescent="0.25">
      <c r="B632" s="39"/>
      <c r="D632" s="59"/>
      <c r="E632" s="68"/>
      <c r="F632" s="95"/>
      <c r="G632" s="21"/>
    </row>
    <row r="633" spans="2:7" s="32" customFormat="1" x14ac:dyDescent="0.25">
      <c r="B633" s="39"/>
      <c r="D633" s="59"/>
      <c r="E633" s="68"/>
      <c r="F633" s="95"/>
      <c r="G633" s="21"/>
    </row>
    <row r="634" spans="2:7" s="32" customFormat="1" x14ac:dyDescent="0.25">
      <c r="B634" s="39"/>
      <c r="D634" s="59"/>
      <c r="E634" s="68"/>
      <c r="F634" s="95"/>
      <c r="G634" s="21"/>
    </row>
    <row r="635" spans="2:7" s="32" customFormat="1" x14ac:dyDescent="0.25">
      <c r="B635" s="39"/>
      <c r="D635" s="59"/>
      <c r="E635" s="68"/>
      <c r="F635" s="95"/>
      <c r="G635" s="21"/>
    </row>
    <row r="636" spans="2:7" s="32" customFormat="1" x14ac:dyDescent="0.25">
      <c r="B636" s="39"/>
      <c r="D636" s="59"/>
      <c r="E636" s="68"/>
      <c r="F636" s="95"/>
      <c r="G636" s="21"/>
    </row>
    <row r="637" spans="2:7" s="32" customFormat="1" x14ac:dyDescent="0.25">
      <c r="B637" s="39"/>
      <c r="D637" s="59"/>
      <c r="E637" s="68"/>
      <c r="F637" s="95"/>
      <c r="G637" s="21"/>
    </row>
    <row r="638" spans="2:7" s="32" customFormat="1" x14ac:dyDescent="0.25">
      <c r="B638" s="39"/>
      <c r="D638" s="59"/>
      <c r="E638" s="68"/>
      <c r="F638" s="95"/>
      <c r="G638" s="21"/>
    </row>
    <row r="639" spans="2:7" s="32" customFormat="1" x14ac:dyDescent="0.25">
      <c r="B639" s="39"/>
      <c r="D639" s="59"/>
      <c r="E639" s="68"/>
      <c r="F639" s="95"/>
      <c r="G639" s="21"/>
    </row>
    <row r="640" spans="2:7" s="32" customFormat="1" x14ac:dyDescent="0.25">
      <c r="B640" s="39"/>
      <c r="D640" s="59"/>
      <c r="E640" s="68"/>
      <c r="F640" s="95"/>
      <c r="G640" s="21"/>
    </row>
    <row r="641" spans="2:7" s="32" customFormat="1" x14ac:dyDescent="0.25">
      <c r="B641" s="39"/>
      <c r="D641" s="59"/>
      <c r="E641" s="68"/>
      <c r="F641" s="95"/>
      <c r="G641" s="21"/>
    </row>
    <row r="642" spans="2:7" s="32" customFormat="1" x14ac:dyDescent="0.25">
      <c r="B642" s="39"/>
      <c r="D642" s="59"/>
      <c r="E642" s="68"/>
      <c r="F642" s="95"/>
      <c r="G642" s="21"/>
    </row>
    <row r="643" spans="2:7" s="32" customFormat="1" x14ac:dyDescent="0.25">
      <c r="B643" s="39"/>
      <c r="D643" s="59"/>
      <c r="E643" s="68"/>
      <c r="F643" s="95"/>
      <c r="G643" s="21"/>
    </row>
    <row r="644" spans="2:7" s="32" customFormat="1" x14ac:dyDescent="0.25">
      <c r="B644" s="39"/>
      <c r="D644" s="59"/>
      <c r="E644" s="68"/>
      <c r="F644" s="95"/>
      <c r="G644" s="21"/>
    </row>
    <row r="645" spans="2:7" s="32" customFormat="1" x14ac:dyDescent="0.25">
      <c r="B645" s="39"/>
      <c r="D645" s="59"/>
      <c r="E645" s="68"/>
      <c r="F645" s="95"/>
      <c r="G645" s="21"/>
    </row>
    <row r="646" spans="2:7" s="32" customFormat="1" x14ac:dyDescent="0.25">
      <c r="B646" s="39"/>
      <c r="D646" s="59"/>
      <c r="E646" s="68"/>
      <c r="F646" s="95"/>
      <c r="G646" s="21"/>
    </row>
    <row r="647" spans="2:7" s="32" customFormat="1" x14ac:dyDescent="0.25">
      <c r="B647" s="39"/>
      <c r="D647" s="59"/>
      <c r="E647" s="68"/>
      <c r="F647" s="95"/>
      <c r="G647" s="21"/>
    </row>
    <row r="648" spans="2:7" s="32" customFormat="1" x14ac:dyDescent="0.25">
      <c r="B648" s="39"/>
      <c r="D648" s="59"/>
      <c r="E648" s="68"/>
      <c r="F648" s="95"/>
      <c r="G648" s="21"/>
    </row>
    <row r="649" spans="2:7" s="32" customFormat="1" x14ac:dyDescent="0.25">
      <c r="B649" s="39"/>
      <c r="D649" s="59"/>
      <c r="E649" s="68"/>
      <c r="F649" s="95"/>
      <c r="G649" s="21"/>
    </row>
    <row r="650" spans="2:7" s="32" customFormat="1" x14ac:dyDescent="0.25">
      <c r="B650" s="39"/>
      <c r="D650" s="59"/>
      <c r="E650" s="68"/>
      <c r="F650" s="95"/>
      <c r="G650" s="21"/>
    </row>
    <row r="651" spans="2:7" s="32" customFormat="1" x14ac:dyDescent="0.25">
      <c r="B651" s="39"/>
      <c r="D651" s="59"/>
      <c r="E651" s="68"/>
      <c r="F651" s="95"/>
      <c r="G651" s="21"/>
    </row>
    <row r="652" spans="2:7" s="32" customFormat="1" x14ac:dyDescent="0.25">
      <c r="B652" s="39"/>
      <c r="D652" s="59"/>
      <c r="E652" s="68"/>
      <c r="F652" s="95"/>
      <c r="G652" s="21"/>
    </row>
    <row r="653" spans="2:7" s="32" customFormat="1" x14ac:dyDescent="0.25">
      <c r="B653" s="39"/>
      <c r="D653" s="59"/>
      <c r="E653" s="68"/>
      <c r="F653" s="95"/>
      <c r="G653" s="21"/>
    </row>
    <row r="654" spans="2:7" s="32" customFormat="1" x14ac:dyDescent="0.25">
      <c r="B654" s="39"/>
      <c r="D654" s="59"/>
      <c r="E654" s="68"/>
      <c r="F654" s="95"/>
      <c r="G654" s="21"/>
    </row>
    <row r="655" spans="2:7" s="32" customFormat="1" x14ac:dyDescent="0.25">
      <c r="B655" s="39"/>
      <c r="D655" s="59"/>
      <c r="E655" s="68"/>
      <c r="F655" s="95"/>
      <c r="G655" s="21"/>
    </row>
    <row r="656" spans="2:7" s="32" customFormat="1" x14ac:dyDescent="0.25">
      <c r="B656" s="39"/>
      <c r="D656" s="59"/>
      <c r="E656" s="68"/>
      <c r="F656" s="95"/>
      <c r="G656" s="21"/>
    </row>
    <row r="657" spans="2:7" s="32" customFormat="1" x14ac:dyDescent="0.25">
      <c r="B657" s="39"/>
      <c r="D657" s="59"/>
      <c r="E657" s="68"/>
      <c r="F657" s="95"/>
      <c r="G657" s="21"/>
    </row>
    <row r="658" spans="2:7" s="32" customFormat="1" x14ac:dyDescent="0.25">
      <c r="B658" s="39"/>
      <c r="D658" s="59"/>
      <c r="E658" s="68"/>
      <c r="F658" s="95"/>
      <c r="G658" s="21"/>
    </row>
    <row r="659" spans="2:7" s="32" customFormat="1" x14ac:dyDescent="0.25">
      <c r="B659" s="39"/>
      <c r="D659" s="59"/>
      <c r="E659" s="68"/>
      <c r="F659" s="95"/>
      <c r="G659" s="21"/>
    </row>
    <row r="660" spans="2:7" s="32" customFormat="1" x14ac:dyDescent="0.25">
      <c r="B660" s="39"/>
      <c r="D660" s="59"/>
      <c r="E660" s="68"/>
      <c r="F660" s="95"/>
      <c r="G660" s="21"/>
    </row>
    <row r="661" spans="2:7" s="32" customFormat="1" x14ac:dyDescent="0.25">
      <c r="B661" s="39"/>
      <c r="D661" s="59"/>
      <c r="E661" s="68"/>
      <c r="F661" s="95"/>
      <c r="G661" s="21"/>
    </row>
    <row r="662" spans="2:7" s="32" customFormat="1" x14ac:dyDescent="0.25">
      <c r="B662" s="39"/>
      <c r="D662" s="59"/>
      <c r="E662" s="68"/>
      <c r="F662" s="95"/>
      <c r="G662" s="21"/>
    </row>
    <row r="663" spans="2:7" s="32" customFormat="1" x14ac:dyDescent="0.25">
      <c r="B663" s="39"/>
      <c r="D663" s="59"/>
      <c r="E663" s="68"/>
      <c r="F663" s="95"/>
      <c r="G663" s="21"/>
    </row>
    <row r="664" spans="2:7" s="32" customFormat="1" x14ac:dyDescent="0.25">
      <c r="B664" s="39"/>
      <c r="D664" s="59"/>
      <c r="E664" s="68"/>
      <c r="F664" s="95"/>
      <c r="G664" s="21"/>
    </row>
    <row r="665" spans="2:7" s="32" customFormat="1" x14ac:dyDescent="0.25">
      <c r="B665" s="39"/>
      <c r="D665" s="59"/>
      <c r="E665" s="68"/>
      <c r="F665" s="95"/>
      <c r="G665" s="21"/>
    </row>
    <row r="666" spans="2:7" s="32" customFormat="1" x14ac:dyDescent="0.25">
      <c r="B666" s="39"/>
      <c r="D666" s="59"/>
      <c r="E666" s="68"/>
      <c r="F666" s="95"/>
      <c r="G666" s="21"/>
    </row>
    <row r="667" spans="2:7" s="32" customFormat="1" x14ac:dyDescent="0.25">
      <c r="B667" s="39"/>
      <c r="D667" s="59"/>
      <c r="E667" s="68"/>
      <c r="F667" s="95"/>
      <c r="G667" s="21"/>
    </row>
    <row r="668" spans="2:7" s="32" customFormat="1" x14ac:dyDescent="0.25">
      <c r="B668" s="39"/>
      <c r="D668" s="59"/>
      <c r="E668" s="68"/>
      <c r="F668" s="95"/>
      <c r="G668" s="21"/>
    </row>
    <row r="669" spans="2:7" s="32" customFormat="1" x14ac:dyDescent="0.25">
      <c r="B669" s="39"/>
      <c r="D669" s="59"/>
      <c r="E669" s="68"/>
      <c r="F669" s="95"/>
      <c r="G669" s="21"/>
    </row>
    <row r="670" spans="2:7" s="32" customFormat="1" x14ac:dyDescent="0.25">
      <c r="B670" s="39"/>
      <c r="D670" s="59"/>
      <c r="E670" s="68"/>
      <c r="F670" s="95"/>
      <c r="G670" s="21"/>
    </row>
    <row r="671" spans="2:7" s="32" customFormat="1" x14ac:dyDescent="0.25">
      <c r="B671" s="39"/>
      <c r="D671" s="59"/>
      <c r="E671" s="68"/>
      <c r="F671" s="95"/>
      <c r="G671" s="21"/>
    </row>
    <row r="672" spans="2:7" s="32" customFormat="1" x14ac:dyDescent="0.25">
      <c r="B672" s="39"/>
      <c r="D672" s="59"/>
      <c r="E672" s="68"/>
      <c r="F672" s="95"/>
      <c r="G672" s="21"/>
    </row>
    <row r="673" spans="2:7" s="32" customFormat="1" x14ac:dyDescent="0.25">
      <c r="B673" s="39"/>
      <c r="D673" s="59"/>
      <c r="E673" s="68"/>
      <c r="F673" s="95"/>
      <c r="G673" s="21"/>
    </row>
    <row r="674" spans="2:7" s="32" customFormat="1" x14ac:dyDescent="0.25">
      <c r="B674" s="39"/>
      <c r="D674" s="59"/>
      <c r="E674" s="68"/>
      <c r="F674" s="95"/>
      <c r="G674" s="21"/>
    </row>
    <row r="675" spans="2:7" s="32" customFormat="1" x14ac:dyDescent="0.25">
      <c r="B675" s="39"/>
      <c r="D675" s="59"/>
      <c r="E675" s="68"/>
      <c r="F675" s="95"/>
      <c r="G675" s="21"/>
    </row>
    <row r="676" spans="2:7" s="32" customFormat="1" x14ac:dyDescent="0.25">
      <c r="B676" s="39"/>
      <c r="D676" s="59"/>
      <c r="E676" s="68"/>
      <c r="F676" s="95"/>
      <c r="G676" s="21"/>
    </row>
    <row r="677" spans="2:7" s="32" customFormat="1" x14ac:dyDescent="0.25">
      <c r="B677" s="39"/>
      <c r="D677" s="59"/>
      <c r="E677" s="68"/>
      <c r="F677" s="95"/>
      <c r="G677" s="21"/>
    </row>
    <row r="678" spans="2:7" s="32" customFormat="1" x14ac:dyDescent="0.25">
      <c r="B678" s="39"/>
      <c r="D678" s="59"/>
      <c r="E678" s="68"/>
      <c r="F678" s="95"/>
      <c r="G678" s="21"/>
    </row>
    <row r="679" spans="2:7" s="32" customFormat="1" x14ac:dyDescent="0.25">
      <c r="B679" s="39"/>
      <c r="D679" s="59"/>
      <c r="E679" s="68"/>
      <c r="F679" s="95"/>
      <c r="G679" s="21"/>
    </row>
    <row r="680" spans="2:7" s="32" customFormat="1" x14ac:dyDescent="0.25">
      <c r="B680" s="39"/>
      <c r="D680" s="59"/>
      <c r="E680" s="68"/>
      <c r="F680" s="95"/>
      <c r="G680" s="21"/>
    </row>
    <row r="681" spans="2:7" s="32" customFormat="1" x14ac:dyDescent="0.25">
      <c r="B681" s="39"/>
      <c r="D681" s="59"/>
      <c r="E681" s="68"/>
      <c r="F681" s="95"/>
      <c r="G681" s="21"/>
    </row>
    <row r="682" spans="2:7" s="32" customFormat="1" x14ac:dyDescent="0.25">
      <c r="B682" s="39"/>
      <c r="D682" s="59"/>
      <c r="E682" s="68"/>
      <c r="F682" s="95"/>
      <c r="G682" s="21"/>
    </row>
    <row r="683" spans="2:7" s="32" customFormat="1" x14ac:dyDescent="0.25">
      <c r="B683" s="39"/>
      <c r="D683" s="59"/>
      <c r="E683" s="68"/>
      <c r="F683" s="95"/>
      <c r="G683" s="21"/>
    </row>
    <row r="684" spans="2:7" s="32" customFormat="1" x14ac:dyDescent="0.25">
      <c r="B684" s="39"/>
      <c r="D684" s="59"/>
      <c r="E684" s="68"/>
      <c r="F684" s="95"/>
      <c r="G684" s="21"/>
    </row>
    <row r="685" spans="2:7" s="32" customFormat="1" x14ac:dyDescent="0.25">
      <c r="B685" s="39"/>
      <c r="D685" s="59"/>
      <c r="E685" s="68"/>
      <c r="F685" s="95"/>
      <c r="G685" s="21"/>
    </row>
    <row r="686" spans="2:7" s="32" customFormat="1" x14ac:dyDescent="0.25">
      <c r="B686" s="39"/>
      <c r="D686" s="59"/>
      <c r="E686" s="68"/>
      <c r="F686" s="95"/>
      <c r="G686" s="21"/>
    </row>
    <row r="687" spans="2:7" s="32" customFormat="1" x14ac:dyDescent="0.25">
      <c r="B687" s="39"/>
      <c r="D687" s="59"/>
      <c r="E687" s="68"/>
      <c r="F687" s="95"/>
      <c r="G687" s="21"/>
    </row>
    <row r="688" spans="2:7" s="32" customFormat="1" x14ac:dyDescent="0.25">
      <c r="B688" s="39"/>
      <c r="D688" s="59"/>
      <c r="E688" s="68"/>
      <c r="F688" s="95"/>
      <c r="G688" s="21"/>
    </row>
    <row r="689" spans="2:7" s="32" customFormat="1" x14ac:dyDescent="0.25">
      <c r="B689" s="39"/>
      <c r="D689" s="59"/>
      <c r="E689" s="68"/>
      <c r="F689" s="95"/>
      <c r="G689" s="21"/>
    </row>
    <row r="690" spans="2:7" s="32" customFormat="1" x14ac:dyDescent="0.25">
      <c r="B690" s="39"/>
      <c r="D690" s="59"/>
      <c r="E690" s="68"/>
      <c r="F690" s="95"/>
      <c r="G690" s="21"/>
    </row>
    <row r="691" spans="2:7" s="32" customFormat="1" x14ac:dyDescent="0.25">
      <c r="B691" s="39"/>
      <c r="D691" s="59"/>
      <c r="E691" s="68"/>
      <c r="F691" s="95"/>
      <c r="G691" s="21"/>
    </row>
    <row r="692" spans="2:7" s="32" customFormat="1" x14ac:dyDescent="0.25">
      <c r="B692" s="39"/>
      <c r="D692" s="59"/>
      <c r="E692" s="68"/>
      <c r="F692" s="95"/>
      <c r="G692" s="21"/>
    </row>
    <row r="693" spans="2:7" s="32" customFormat="1" x14ac:dyDescent="0.25">
      <c r="B693" s="39"/>
      <c r="D693" s="59"/>
      <c r="E693" s="68"/>
      <c r="F693" s="95"/>
      <c r="G693" s="21"/>
    </row>
    <row r="694" spans="2:7" s="32" customFormat="1" x14ac:dyDescent="0.25">
      <c r="B694" s="39"/>
      <c r="D694" s="59"/>
      <c r="E694" s="68"/>
      <c r="F694" s="95"/>
      <c r="G694" s="21"/>
    </row>
    <row r="695" spans="2:7" s="32" customFormat="1" x14ac:dyDescent="0.25">
      <c r="B695" s="39"/>
      <c r="D695" s="59"/>
      <c r="E695" s="68"/>
      <c r="F695" s="95"/>
      <c r="G695" s="21"/>
    </row>
    <row r="696" spans="2:7" s="32" customFormat="1" x14ac:dyDescent="0.25">
      <c r="B696" s="39"/>
      <c r="D696" s="59"/>
      <c r="E696" s="68"/>
      <c r="F696" s="95"/>
      <c r="G696" s="21"/>
    </row>
    <row r="697" spans="2:7" s="32" customFormat="1" x14ac:dyDescent="0.25">
      <c r="B697" s="39"/>
      <c r="D697" s="59"/>
      <c r="E697" s="68"/>
      <c r="F697" s="95"/>
      <c r="G697" s="21"/>
    </row>
    <row r="698" spans="2:7" s="32" customFormat="1" x14ac:dyDescent="0.25">
      <c r="B698" s="39"/>
      <c r="D698" s="59"/>
      <c r="E698" s="68"/>
      <c r="F698" s="95"/>
      <c r="G698" s="21"/>
    </row>
    <row r="699" spans="2:7" s="32" customFormat="1" x14ac:dyDescent="0.25">
      <c r="B699" s="39"/>
      <c r="D699" s="59"/>
      <c r="E699" s="68"/>
      <c r="F699" s="95"/>
      <c r="G699" s="21"/>
    </row>
    <row r="700" spans="2:7" s="32" customFormat="1" x14ac:dyDescent="0.25">
      <c r="B700" s="39"/>
      <c r="D700" s="59"/>
      <c r="E700" s="68"/>
      <c r="F700" s="95"/>
      <c r="G700" s="21"/>
    </row>
    <row r="701" spans="2:7" s="32" customFormat="1" x14ac:dyDescent="0.25">
      <c r="B701" s="39"/>
      <c r="D701" s="59"/>
      <c r="E701" s="68"/>
      <c r="F701" s="95"/>
      <c r="G701" s="21"/>
    </row>
    <row r="702" spans="2:7" s="32" customFormat="1" x14ac:dyDescent="0.25">
      <c r="B702" s="39"/>
      <c r="D702" s="59"/>
      <c r="E702" s="68"/>
      <c r="F702" s="95"/>
      <c r="G702" s="21"/>
    </row>
    <row r="703" spans="2:7" s="32" customFormat="1" x14ac:dyDescent="0.25">
      <c r="B703" s="39"/>
      <c r="D703" s="59"/>
      <c r="E703" s="68"/>
      <c r="F703" s="95"/>
      <c r="G703" s="21"/>
    </row>
    <row r="704" spans="2:7" s="32" customFormat="1" x14ac:dyDescent="0.25">
      <c r="B704" s="39"/>
      <c r="D704" s="59"/>
      <c r="E704" s="68"/>
      <c r="F704" s="95"/>
      <c r="G704" s="21"/>
    </row>
    <row r="705" spans="2:7" s="32" customFormat="1" x14ac:dyDescent="0.25">
      <c r="B705" s="39"/>
      <c r="D705" s="59"/>
      <c r="E705" s="68"/>
      <c r="F705" s="95"/>
      <c r="G705" s="21"/>
    </row>
    <row r="706" spans="2:7" s="32" customFormat="1" x14ac:dyDescent="0.25">
      <c r="B706" s="39"/>
      <c r="D706" s="59"/>
      <c r="E706" s="68"/>
      <c r="F706" s="95"/>
      <c r="G706" s="21"/>
    </row>
    <row r="707" spans="2:7" s="32" customFormat="1" x14ac:dyDescent="0.25">
      <c r="B707" s="39"/>
      <c r="D707" s="59"/>
      <c r="E707" s="68"/>
      <c r="F707" s="95"/>
      <c r="G707" s="21"/>
    </row>
    <row r="708" spans="2:7" s="32" customFormat="1" x14ac:dyDescent="0.25">
      <c r="B708" s="39"/>
      <c r="D708" s="59"/>
      <c r="E708" s="68"/>
      <c r="F708" s="95"/>
      <c r="G708" s="21"/>
    </row>
    <row r="709" spans="2:7" s="32" customFormat="1" x14ac:dyDescent="0.25">
      <c r="B709" s="39"/>
      <c r="D709" s="59"/>
      <c r="E709" s="68"/>
      <c r="F709" s="95"/>
      <c r="G709" s="21"/>
    </row>
    <row r="710" spans="2:7" s="32" customFormat="1" x14ac:dyDescent="0.25">
      <c r="B710" s="39"/>
      <c r="D710" s="59"/>
      <c r="E710" s="68"/>
      <c r="F710" s="95"/>
      <c r="G710" s="21"/>
    </row>
    <row r="711" spans="2:7" s="32" customFormat="1" x14ac:dyDescent="0.25">
      <c r="B711" s="39"/>
      <c r="D711" s="59"/>
      <c r="E711" s="68"/>
      <c r="F711" s="95"/>
      <c r="G711" s="21"/>
    </row>
    <row r="712" spans="2:7" s="32" customFormat="1" x14ac:dyDescent="0.25">
      <c r="B712" s="39"/>
      <c r="D712" s="59"/>
      <c r="E712" s="68"/>
      <c r="F712" s="95"/>
      <c r="G712" s="21"/>
    </row>
    <row r="713" spans="2:7" s="32" customFormat="1" x14ac:dyDescent="0.25">
      <c r="B713" s="39"/>
      <c r="D713" s="59"/>
      <c r="E713" s="68"/>
      <c r="F713" s="95"/>
      <c r="G713" s="21"/>
    </row>
    <row r="714" spans="2:7" s="32" customFormat="1" x14ac:dyDescent="0.25">
      <c r="B714" s="39"/>
      <c r="D714" s="59"/>
      <c r="E714" s="68"/>
      <c r="F714" s="95"/>
      <c r="G714" s="21"/>
    </row>
    <row r="715" spans="2:7" s="32" customFormat="1" x14ac:dyDescent="0.25">
      <c r="B715" s="39"/>
      <c r="D715" s="59"/>
      <c r="E715" s="68"/>
      <c r="F715" s="95"/>
      <c r="G715" s="21"/>
    </row>
    <row r="716" spans="2:7" s="32" customFormat="1" x14ac:dyDescent="0.25">
      <c r="B716" s="39"/>
      <c r="D716" s="59"/>
      <c r="E716" s="68"/>
      <c r="F716" s="95"/>
      <c r="G716" s="21"/>
    </row>
    <row r="717" spans="2:7" s="32" customFormat="1" x14ac:dyDescent="0.25">
      <c r="B717" s="39"/>
      <c r="D717" s="59"/>
      <c r="E717" s="68"/>
      <c r="F717" s="95"/>
      <c r="G717" s="21"/>
    </row>
    <row r="718" spans="2:7" s="32" customFormat="1" x14ac:dyDescent="0.25">
      <c r="B718" s="39"/>
      <c r="D718" s="59"/>
      <c r="E718" s="68"/>
      <c r="F718" s="95"/>
      <c r="G718" s="21"/>
    </row>
    <row r="719" spans="2:7" s="32" customFormat="1" x14ac:dyDescent="0.25">
      <c r="B719" s="39"/>
      <c r="D719" s="59"/>
      <c r="E719" s="68"/>
      <c r="F719" s="95"/>
      <c r="G719" s="21"/>
    </row>
    <row r="720" spans="2:7" s="32" customFormat="1" x14ac:dyDescent="0.25">
      <c r="B720" s="39"/>
      <c r="D720" s="59"/>
      <c r="E720" s="68"/>
      <c r="F720" s="95"/>
      <c r="G720" s="21"/>
    </row>
    <row r="721" spans="2:7" s="32" customFormat="1" x14ac:dyDescent="0.25">
      <c r="B721" s="39"/>
      <c r="D721" s="59"/>
      <c r="E721" s="68"/>
      <c r="F721" s="95"/>
      <c r="G721" s="21"/>
    </row>
    <row r="722" spans="2:7" s="32" customFormat="1" x14ac:dyDescent="0.25">
      <c r="B722" s="39"/>
      <c r="D722" s="59"/>
      <c r="E722" s="68"/>
      <c r="F722" s="95"/>
      <c r="G722" s="21"/>
    </row>
    <row r="723" spans="2:7" s="32" customFormat="1" x14ac:dyDescent="0.25">
      <c r="B723" s="39"/>
      <c r="D723" s="59"/>
      <c r="E723" s="68"/>
      <c r="F723" s="95"/>
      <c r="G723" s="21"/>
    </row>
    <row r="724" spans="2:7" s="32" customFormat="1" x14ac:dyDescent="0.25">
      <c r="B724" s="39"/>
      <c r="D724" s="59"/>
      <c r="E724" s="68"/>
      <c r="F724" s="95"/>
      <c r="G724" s="21"/>
    </row>
    <row r="725" spans="2:7" s="32" customFormat="1" x14ac:dyDescent="0.25">
      <c r="B725" s="39"/>
      <c r="D725" s="59"/>
      <c r="E725" s="68"/>
      <c r="F725" s="95"/>
      <c r="G725" s="21"/>
    </row>
    <row r="726" spans="2:7" s="32" customFormat="1" x14ac:dyDescent="0.25">
      <c r="B726" s="39"/>
      <c r="D726" s="59"/>
      <c r="E726" s="68"/>
      <c r="F726" s="95"/>
      <c r="G726" s="21"/>
    </row>
    <row r="727" spans="2:7" s="32" customFormat="1" x14ac:dyDescent="0.25">
      <c r="B727" s="39"/>
      <c r="D727" s="59"/>
      <c r="E727" s="68"/>
      <c r="F727" s="95"/>
      <c r="G727" s="21"/>
    </row>
    <row r="728" spans="2:7" s="32" customFormat="1" x14ac:dyDescent="0.25">
      <c r="B728" s="39"/>
      <c r="D728" s="59"/>
      <c r="E728" s="68"/>
      <c r="F728" s="95"/>
      <c r="G728" s="21"/>
    </row>
    <row r="729" spans="2:7" s="32" customFormat="1" x14ac:dyDescent="0.25">
      <c r="B729" s="39"/>
      <c r="D729" s="59"/>
      <c r="E729" s="68"/>
      <c r="F729" s="95"/>
      <c r="G729" s="21"/>
    </row>
    <row r="730" spans="2:7" s="32" customFormat="1" x14ac:dyDescent="0.25">
      <c r="B730" s="39"/>
      <c r="D730" s="59"/>
      <c r="E730" s="68"/>
      <c r="F730" s="95"/>
      <c r="G730" s="21"/>
    </row>
    <row r="731" spans="2:7" s="32" customFormat="1" x14ac:dyDescent="0.25">
      <c r="B731" s="39"/>
      <c r="D731" s="59"/>
      <c r="E731" s="68"/>
      <c r="F731" s="95"/>
      <c r="G731" s="21"/>
    </row>
    <row r="732" spans="2:7" s="32" customFormat="1" x14ac:dyDescent="0.25">
      <c r="B732" s="39"/>
      <c r="D732" s="59"/>
      <c r="E732" s="68"/>
      <c r="F732" s="95"/>
      <c r="G732" s="21"/>
    </row>
    <row r="733" spans="2:7" s="32" customFormat="1" x14ac:dyDescent="0.25">
      <c r="B733" s="39"/>
      <c r="D733" s="59"/>
      <c r="E733" s="68"/>
      <c r="F733" s="95"/>
      <c r="G733" s="21"/>
    </row>
    <row r="734" spans="2:7" s="32" customFormat="1" x14ac:dyDescent="0.25">
      <c r="B734" s="39"/>
      <c r="D734" s="59"/>
      <c r="E734" s="68"/>
      <c r="F734" s="95"/>
      <c r="G734" s="21"/>
    </row>
    <row r="735" spans="2:7" s="32" customFormat="1" x14ac:dyDescent="0.25">
      <c r="B735" s="39"/>
      <c r="D735" s="59"/>
      <c r="E735" s="68"/>
      <c r="F735" s="95"/>
      <c r="G735" s="21"/>
    </row>
    <row r="736" spans="2:7" s="32" customFormat="1" x14ac:dyDescent="0.25">
      <c r="B736" s="39"/>
      <c r="D736" s="59"/>
      <c r="E736" s="68"/>
      <c r="F736" s="95"/>
      <c r="G736" s="21"/>
    </row>
    <row r="737" spans="2:7" s="32" customFormat="1" x14ac:dyDescent="0.25">
      <c r="B737" s="39"/>
      <c r="D737" s="59"/>
      <c r="E737" s="68"/>
      <c r="F737" s="95"/>
      <c r="G737" s="21"/>
    </row>
    <row r="738" spans="2:7" s="32" customFormat="1" x14ac:dyDescent="0.25">
      <c r="B738" s="39"/>
      <c r="D738" s="59"/>
      <c r="E738" s="68"/>
      <c r="F738" s="95"/>
      <c r="G738" s="21"/>
    </row>
    <row r="739" spans="2:7" s="32" customFormat="1" x14ac:dyDescent="0.25">
      <c r="B739" s="39"/>
      <c r="D739" s="59"/>
      <c r="E739" s="68"/>
      <c r="F739" s="95"/>
      <c r="G739" s="21"/>
    </row>
    <row r="740" spans="2:7" s="32" customFormat="1" x14ac:dyDescent="0.25">
      <c r="B740" s="39"/>
      <c r="D740" s="59"/>
      <c r="E740" s="68"/>
      <c r="F740" s="95"/>
      <c r="G740" s="21"/>
    </row>
    <row r="741" spans="2:7" s="32" customFormat="1" x14ac:dyDescent="0.25">
      <c r="B741" s="39"/>
      <c r="D741" s="59"/>
      <c r="E741" s="68"/>
      <c r="F741" s="95"/>
      <c r="G741" s="21"/>
    </row>
    <row r="742" spans="2:7" s="32" customFormat="1" x14ac:dyDescent="0.25">
      <c r="B742" s="39"/>
      <c r="D742" s="59"/>
      <c r="E742" s="68"/>
      <c r="F742" s="95"/>
      <c r="G742" s="21"/>
    </row>
    <row r="743" spans="2:7" s="32" customFormat="1" x14ac:dyDescent="0.25">
      <c r="B743" s="39"/>
      <c r="D743" s="59"/>
      <c r="E743" s="68"/>
      <c r="F743" s="95"/>
      <c r="G743" s="21"/>
    </row>
    <row r="744" spans="2:7" s="32" customFormat="1" x14ac:dyDescent="0.25">
      <c r="B744" s="39"/>
      <c r="D744" s="59"/>
      <c r="E744" s="68"/>
      <c r="F744" s="95"/>
      <c r="G744" s="21"/>
    </row>
    <row r="745" spans="2:7" s="32" customFormat="1" x14ac:dyDescent="0.25">
      <c r="B745" s="39"/>
      <c r="D745" s="59"/>
      <c r="E745" s="68"/>
      <c r="F745" s="95"/>
      <c r="G745" s="21"/>
    </row>
    <row r="746" spans="2:7" s="32" customFormat="1" x14ac:dyDescent="0.25">
      <c r="B746" s="39"/>
      <c r="D746" s="59"/>
      <c r="E746" s="68"/>
      <c r="F746" s="95"/>
      <c r="G746" s="21"/>
    </row>
    <row r="747" spans="2:7" s="32" customFormat="1" x14ac:dyDescent="0.25">
      <c r="B747" s="39"/>
      <c r="D747" s="59"/>
      <c r="E747" s="68"/>
      <c r="F747" s="95"/>
      <c r="G747" s="21"/>
    </row>
    <row r="748" spans="2:7" s="32" customFormat="1" x14ac:dyDescent="0.25">
      <c r="B748" s="39"/>
      <c r="D748" s="59"/>
      <c r="E748" s="68"/>
      <c r="F748" s="95"/>
      <c r="G748" s="21"/>
    </row>
    <row r="749" spans="2:7" s="32" customFormat="1" x14ac:dyDescent="0.25">
      <c r="B749" s="39"/>
      <c r="D749" s="59"/>
      <c r="E749" s="68"/>
      <c r="F749" s="95"/>
      <c r="G749" s="21"/>
    </row>
    <row r="750" spans="2:7" s="32" customFormat="1" x14ac:dyDescent="0.25">
      <c r="B750" s="39"/>
      <c r="D750" s="59"/>
      <c r="E750" s="68"/>
      <c r="F750" s="95"/>
      <c r="G750" s="21"/>
    </row>
    <row r="751" spans="2:7" s="32" customFormat="1" x14ac:dyDescent="0.25">
      <c r="B751" s="39"/>
      <c r="D751" s="59"/>
      <c r="E751" s="68"/>
      <c r="F751" s="95"/>
      <c r="G751" s="21"/>
    </row>
    <row r="752" spans="2:7" s="32" customFormat="1" x14ac:dyDescent="0.25">
      <c r="B752" s="39"/>
      <c r="D752" s="59"/>
      <c r="E752" s="68"/>
      <c r="F752" s="95"/>
      <c r="G752" s="21"/>
    </row>
    <row r="753" spans="2:7" s="32" customFormat="1" x14ac:dyDescent="0.25">
      <c r="B753" s="39"/>
      <c r="D753" s="59"/>
      <c r="E753" s="68"/>
      <c r="F753" s="95"/>
      <c r="G753" s="21"/>
    </row>
    <row r="754" spans="2:7" s="32" customFormat="1" x14ac:dyDescent="0.25">
      <c r="B754" s="39"/>
      <c r="D754" s="59"/>
      <c r="E754" s="68"/>
      <c r="F754" s="95"/>
      <c r="G754" s="21"/>
    </row>
    <row r="755" spans="2:7" s="32" customFormat="1" x14ac:dyDescent="0.25">
      <c r="B755" s="39"/>
      <c r="D755" s="59"/>
      <c r="E755" s="68"/>
      <c r="F755" s="95"/>
      <c r="G755" s="21"/>
    </row>
    <row r="756" spans="2:7" s="32" customFormat="1" x14ac:dyDescent="0.25">
      <c r="B756" s="39"/>
      <c r="D756" s="59"/>
      <c r="E756" s="68"/>
      <c r="F756" s="95"/>
      <c r="G756" s="21"/>
    </row>
    <row r="757" spans="2:7" s="32" customFormat="1" x14ac:dyDescent="0.25">
      <c r="B757" s="39"/>
      <c r="D757" s="59"/>
      <c r="E757" s="68"/>
      <c r="F757" s="95"/>
      <c r="G757" s="21"/>
    </row>
    <row r="758" spans="2:7" s="32" customFormat="1" x14ac:dyDescent="0.25">
      <c r="B758" s="39"/>
      <c r="D758" s="59"/>
      <c r="E758" s="68"/>
      <c r="F758" s="95"/>
      <c r="G758" s="21"/>
    </row>
    <row r="759" spans="2:7" s="32" customFormat="1" x14ac:dyDescent="0.25">
      <c r="B759" s="39"/>
      <c r="D759" s="59"/>
      <c r="E759" s="68"/>
      <c r="F759" s="95"/>
      <c r="G759" s="21"/>
    </row>
    <row r="760" spans="2:7" s="32" customFormat="1" x14ac:dyDescent="0.25">
      <c r="B760" s="39"/>
      <c r="D760" s="59"/>
      <c r="E760" s="68"/>
      <c r="F760" s="95"/>
      <c r="G760" s="21"/>
    </row>
    <row r="761" spans="2:7" s="32" customFormat="1" x14ac:dyDescent="0.25">
      <c r="B761" s="39"/>
      <c r="D761" s="59"/>
      <c r="E761" s="68"/>
      <c r="F761" s="95"/>
      <c r="G761" s="21"/>
    </row>
    <row r="762" spans="2:7" s="32" customFormat="1" x14ac:dyDescent="0.25">
      <c r="B762" s="39"/>
      <c r="D762" s="59"/>
      <c r="E762" s="68"/>
      <c r="F762" s="95"/>
      <c r="G762" s="21"/>
    </row>
    <row r="763" spans="2:7" s="32" customFormat="1" x14ac:dyDescent="0.25">
      <c r="B763" s="39"/>
      <c r="D763" s="59"/>
      <c r="E763" s="68"/>
      <c r="F763" s="95"/>
      <c r="G763" s="21"/>
    </row>
    <row r="764" spans="2:7" s="32" customFormat="1" x14ac:dyDescent="0.25">
      <c r="B764" s="39"/>
      <c r="D764" s="59"/>
      <c r="E764" s="68"/>
      <c r="F764" s="95"/>
      <c r="G764" s="21"/>
    </row>
    <row r="765" spans="2:7" s="32" customFormat="1" x14ac:dyDescent="0.25">
      <c r="B765" s="39"/>
      <c r="D765" s="59"/>
      <c r="E765" s="68"/>
      <c r="F765" s="95"/>
      <c r="G765" s="21"/>
    </row>
    <row r="766" spans="2:7" s="32" customFormat="1" x14ac:dyDescent="0.25">
      <c r="B766" s="39"/>
      <c r="D766" s="59"/>
      <c r="E766" s="68"/>
      <c r="F766" s="95"/>
      <c r="G766" s="21"/>
    </row>
    <row r="767" spans="2:7" s="32" customFormat="1" x14ac:dyDescent="0.25">
      <c r="B767" s="39"/>
      <c r="D767" s="59"/>
      <c r="E767" s="68"/>
      <c r="F767" s="95"/>
      <c r="G767" s="21"/>
    </row>
    <row r="768" spans="2:7" s="32" customFormat="1" x14ac:dyDescent="0.25">
      <c r="B768" s="39"/>
      <c r="D768" s="59"/>
      <c r="E768" s="68"/>
      <c r="F768" s="95"/>
      <c r="G768" s="21"/>
    </row>
    <row r="769" spans="2:7" s="32" customFormat="1" x14ac:dyDescent="0.25">
      <c r="B769" s="39"/>
      <c r="D769" s="59"/>
      <c r="E769" s="68"/>
      <c r="F769" s="95"/>
      <c r="G769" s="21"/>
    </row>
    <row r="770" spans="2:7" s="32" customFormat="1" x14ac:dyDescent="0.25">
      <c r="B770" s="39"/>
      <c r="D770" s="59"/>
      <c r="E770" s="68"/>
      <c r="F770" s="95"/>
      <c r="G770" s="21"/>
    </row>
    <row r="771" spans="2:7" s="32" customFormat="1" x14ac:dyDescent="0.25">
      <c r="B771" s="39"/>
      <c r="D771" s="59"/>
      <c r="E771" s="68"/>
      <c r="F771" s="95"/>
      <c r="G771" s="21"/>
    </row>
    <row r="772" spans="2:7" s="32" customFormat="1" x14ac:dyDescent="0.25">
      <c r="B772" s="39"/>
      <c r="D772" s="59"/>
      <c r="E772" s="68"/>
      <c r="F772" s="95"/>
      <c r="G772" s="21"/>
    </row>
    <row r="773" spans="2:7" s="32" customFormat="1" x14ac:dyDescent="0.25">
      <c r="B773" s="39"/>
      <c r="D773" s="59"/>
      <c r="E773" s="68"/>
      <c r="F773" s="95"/>
      <c r="G773" s="21"/>
    </row>
    <row r="774" spans="2:7" s="32" customFormat="1" x14ac:dyDescent="0.25">
      <c r="B774" s="39"/>
      <c r="D774" s="59"/>
      <c r="E774" s="68"/>
      <c r="F774" s="95"/>
      <c r="G774" s="21"/>
    </row>
    <row r="775" spans="2:7" s="32" customFormat="1" x14ac:dyDescent="0.25">
      <c r="B775" s="39"/>
      <c r="D775" s="59"/>
      <c r="E775" s="68"/>
      <c r="F775" s="95"/>
      <c r="G775" s="21"/>
    </row>
    <row r="776" spans="2:7" s="32" customFormat="1" x14ac:dyDescent="0.25">
      <c r="B776" s="39"/>
      <c r="D776" s="59"/>
      <c r="E776" s="68"/>
      <c r="F776" s="95"/>
      <c r="G776" s="21"/>
    </row>
    <row r="777" spans="2:7" s="32" customFormat="1" x14ac:dyDescent="0.25">
      <c r="B777" s="39"/>
      <c r="D777" s="59"/>
      <c r="E777" s="68"/>
      <c r="F777" s="95"/>
      <c r="G777" s="21"/>
    </row>
    <row r="778" spans="2:7" s="32" customFormat="1" x14ac:dyDescent="0.25">
      <c r="B778" s="39"/>
      <c r="D778" s="59"/>
      <c r="E778" s="68"/>
      <c r="F778" s="95"/>
      <c r="G778" s="21"/>
    </row>
    <row r="779" spans="2:7" s="32" customFormat="1" x14ac:dyDescent="0.25">
      <c r="B779" s="39"/>
      <c r="D779" s="59"/>
      <c r="E779" s="68"/>
      <c r="F779" s="95"/>
      <c r="G779" s="21"/>
    </row>
    <row r="780" spans="2:7" s="32" customFormat="1" x14ac:dyDescent="0.25">
      <c r="B780" s="39"/>
      <c r="D780" s="59"/>
      <c r="E780" s="68"/>
      <c r="F780" s="95"/>
      <c r="G780" s="21"/>
    </row>
    <row r="781" spans="2:7" s="32" customFormat="1" x14ac:dyDescent="0.25">
      <c r="B781" s="39"/>
      <c r="D781" s="59"/>
      <c r="E781" s="68"/>
      <c r="F781" s="95"/>
      <c r="G781" s="21"/>
    </row>
    <row r="782" spans="2:7" s="32" customFormat="1" x14ac:dyDescent="0.25">
      <c r="B782" s="39"/>
      <c r="D782" s="59"/>
      <c r="E782" s="68"/>
      <c r="F782" s="95"/>
      <c r="G782" s="21"/>
    </row>
    <row r="783" spans="2:7" s="32" customFormat="1" x14ac:dyDescent="0.25">
      <c r="B783" s="39"/>
      <c r="D783" s="59"/>
      <c r="E783" s="68"/>
      <c r="F783" s="95"/>
      <c r="G783" s="21"/>
    </row>
    <row r="784" spans="2:7" s="32" customFormat="1" x14ac:dyDescent="0.25">
      <c r="B784" s="39"/>
      <c r="D784" s="59"/>
      <c r="E784" s="68"/>
      <c r="F784" s="95"/>
      <c r="G784" s="21"/>
    </row>
    <row r="785" spans="2:7" s="32" customFormat="1" x14ac:dyDescent="0.25">
      <c r="B785" s="39"/>
      <c r="D785" s="59"/>
      <c r="E785" s="68"/>
      <c r="F785" s="95"/>
      <c r="G785" s="21"/>
    </row>
    <row r="786" spans="2:7" s="32" customFormat="1" x14ac:dyDescent="0.25">
      <c r="B786" s="39"/>
      <c r="D786" s="59"/>
      <c r="E786" s="68"/>
      <c r="F786" s="95"/>
      <c r="G786" s="21"/>
    </row>
    <row r="787" spans="2:7" s="32" customFormat="1" x14ac:dyDescent="0.25">
      <c r="B787" s="39"/>
      <c r="D787" s="59"/>
      <c r="E787" s="68"/>
      <c r="F787" s="95"/>
      <c r="G787" s="21"/>
    </row>
    <row r="788" spans="2:7" s="32" customFormat="1" x14ac:dyDescent="0.25">
      <c r="B788" s="39"/>
      <c r="D788" s="59"/>
      <c r="E788" s="68"/>
      <c r="F788" s="95"/>
      <c r="G788" s="21"/>
    </row>
    <row r="789" spans="2:7" s="32" customFormat="1" x14ac:dyDescent="0.25">
      <c r="B789" s="39"/>
      <c r="D789" s="59"/>
      <c r="E789" s="68"/>
      <c r="F789" s="95"/>
      <c r="G789" s="21"/>
    </row>
    <row r="790" spans="2:7" s="32" customFormat="1" x14ac:dyDescent="0.25">
      <c r="B790" s="39"/>
      <c r="D790" s="59"/>
      <c r="E790" s="68"/>
      <c r="F790" s="95"/>
      <c r="G790" s="21"/>
    </row>
    <row r="791" spans="2:7" s="32" customFormat="1" x14ac:dyDescent="0.25">
      <c r="B791" s="39"/>
      <c r="D791" s="59"/>
      <c r="E791" s="68"/>
      <c r="F791" s="95"/>
      <c r="G791" s="21"/>
    </row>
    <row r="792" spans="2:7" s="32" customFormat="1" x14ac:dyDescent="0.25">
      <c r="B792" s="39"/>
      <c r="D792" s="59"/>
      <c r="E792" s="68"/>
      <c r="F792" s="95"/>
      <c r="G792" s="21"/>
    </row>
    <row r="793" spans="2:7" s="32" customFormat="1" x14ac:dyDescent="0.25">
      <c r="B793" s="39"/>
      <c r="D793" s="59"/>
      <c r="E793" s="68"/>
      <c r="F793" s="95"/>
      <c r="G793" s="21"/>
    </row>
    <row r="794" spans="2:7" s="32" customFormat="1" x14ac:dyDescent="0.25">
      <c r="B794" s="39"/>
      <c r="D794" s="59"/>
      <c r="E794" s="68"/>
      <c r="F794" s="95"/>
      <c r="G794" s="21"/>
    </row>
    <row r="795" spans="2:7" s="32" customFormat="1" x14ac:dyDescent="0.25">
      <c r="B795" s="39"/>
      <c r="D795" s="59"/>
      <c r="E795" s="68"/>
      <c r="F795" s="95"/>
      <c r="G795" s="21"/>
    </row>
    <row r="796" spans="2:7" s="32" customFormat="1" x14ac:dyDescent="0.25">
      <c r="B796" s="39"/>
      <c r="D796" s="59"/>
      <c r="E796" s="68"/>
      <c r="F796" s="95"/>
      <c r="G796" s="21"/>
    </row>
    <row r="797" spans="2:7" s="32" customFormat="1" x14ac:dyDescent="0.25">
      <c r="B797" s="39"/>
      <c r="D797" s="59"/>
      <c r="E797" s="68"/>
      <c r="F797" s="95"/>
      <c r="G797" s="21"/>
    </row>
    <row r="798" spans="2:7" s="32" customFormat="1" x14ac:dyDescent="0.25">
      <c r="B798" s="39"/>
      <c r="D798" s="59"/>
      <c r="E798" s="68"/>
      <c r="F798" s="95"/>
      <c r="G798" s="21"/>
    </row>
    <row r="799" spans="2:7" s="32" customFormat="1" x14ac:dyDescent="0.25">
      <c r="B799" s="39"/>
      <c r="D799" s="59"/>
      <c r="E799" s="68"/>
      <c r="F799" s="95"/>
      <c r="G799" s="21"/>
    </row>
    <row r="800" spans="2:7" s="32" customFormat="1" x14ac:dyDescent="0.25">
      <c r="B800" s="39"/>
      <c r="D800" s="59"/>
      <c r="E800" s="68"/>
      <c r="F800" s="95"/>
      <c r="G800" s="21"/>
    </row>
    <row r="801" spans="2:7" s="32" customFormat="1" x14ac:dyDescent="0.25">
      <c r="B801" s="39"/>
      <c r="D801" s="59"/>
      <c r="E801" s="68"/>
      <c r="F801" s="95"/>
      <c r="G801" s="21"/>
    </row>
    <row r="802" spans="2:7" s="32" customFormat="1" x14ac:dyDescent="0.25">
      <c r="B802" s="39"/>
      <c r="D802" s="59"/>
      <c r="E802" s="68"/>
      <c r="F802" s="95"/>
      <c r="G802" s="21"/>
    </row>
    <row r="803" spans="2:7" s="32" customFormat="1" x14ac:dyDescent="0.25">
      <c r="B803" s="39"/>
      <c r="D803" s="59"/>
      <c r="E803" s="68"/>
      <c r="F803" s="95"/>
      <c r="G803" s="21"/>
    </row>
    <row r="804" spans="2:7" s="32" customFormat="1" x14ac:dyDescent="0.25">
      <c r="B804" s="39"/>
      <c r="D804" s="59"/>
      <c r="E804" s="68"/>
      <c r="F804" s="95"/>
      <c r="G804" s="21"/>
    </row>
    <row r="805" spans="2:7" s="32" customFormat="1" x14ac:dyDescent="0.25">
      <c r="B805" s="39"/>
      <c r="D805" s="59"/>
      <c r="E805" s="68"/>
      <c r="F805" s="95"/>
      <c r="G805" s="21"/>
    </row>
    <row r="806" spans="2:7" s="32" customFormat="1" x14ac:dyDescent="0.25">
      <c r="B806" s="39"/>
      <c r="D806" s="59"/>
      <c r="E806" s="68"/>
      <c r="F806" s="95"/>
      <c r="G806" s="21"/>
    </row>
    <row r="807" spans="2:7" s="32" customFormat="1" x14ac:dyDescent="0.25">
      <c r="B807" s="39"/>
      <c r="D807" s="59"/>
      <c r="E807" s="68"/>
      <c r="F807" s="95"/>
      <c r="G807" s="21"/>
    </row>
    <row r="808" spans="2:7" s="32" customFormat="1" x14ac:dyDescent="0.25">
      <c r="B808" s="39"/>
      <c r="D808" s="59"/>
      <c r="E808" s="68"/>
      <c r="F808" s="95"/>
      <c r="G808" s="21"/>
    </row>
    <row r="809" spans="2:7" s="32" customFormat="1" x14ac:dyDescent="0.25">
      <c r="B809" s="39"/>
      <c r="D809" s="59"/>
      <c r="E809" s="68"/>
      <c r="F809" s="95"/>
      <c r="G809" s="21"/>
    </row>
    <row r="810" spans="2:7" s="32" customFormat="1" x14ac:dyDescent="0.25">
      <c r="B810" s="39"/>
      <c r="D810" s="59"/>
      <c r="E810" s="68"/>
      <c r="F810" s="95"/>
      <c r="G810" s="21"/>
    </row>
    <row r="811" spans="2:7" s="32" customFormat="1" x14ac:dyDescent="0.25">
      <c r="B811" s="39"/>
      <c r="D811" s="59"/>
      <c r="E811" s="68"/>
      <c r="F811" s="95"/>
      <c r="G811" s="21"/>
    </row>
    <row r="812" spans="2:7" s="32" customFormat="1" x14ac:dyDescent="0.25">
      <c r="B812" s="39"/>
      <c r="D812" s="59"/>
      <c r="E812" s="68"/>
      <c r="F812" s="95"/>
      <c r="G812" s="21"/>
    </row>
    <row r="813" spans="2:7" s="32" customFormat="1" x14ac:dyDescent="0.25">
      <c r="B813" s="39"/>
      <c r="D813" s="59"/>
      <c r="E813" s="68"/>
      <c r="F813" s="95"/>
      <c r="G813" s="21"/>
    </row>
    <row r="814" spans="2:7" s="32" customFormat="1" x14ac:dyDescent="0.25">
      <c r="B814" s="39"/>
      <c r="D814" s="59"/>
      <c r="E814" s="68"/>
      <c r="F814" s="95"/>
      <c r="G814" s="21"/>
    </row>
    <row r="815" spans="2:7" s="32" customFormat="1" x14ac:dyDescent="0.25">
      <c r="B815" s="39"/>
      <c r="D815" s="59"/>
      <c r="E815" s="68"/>
      <c r="F815" s="95"/>
      <c r="G815" s="21"/>
    </row>
    <row r="816" spans="2:7" s="32" customFormat="1" x14ac:dyDescent="0.25">
      <c r="B816" s="39"/>
      <c r="D816" s="59"/>
      <c r="E816" s="68"/>
      <c r="F816" s="95"/>
      <c r="G816" s="21"/>
    </row>
    <row r="817" spans="2:7" s="32" customFormat="1" x14ac:dyDescent="0.25">
      <c r="B817" s="39"/>
      <c r="D817" s="59"/>
      <c r="E817" s="68"/>
      <c r="F817" s="95"/>
      <c r="G817" s="21"/>
    </row>
    <row r="818" spans="2:7" s="32" customFormat="1" x14ac:dyDescent="0.25">
      <c r="B818" s="39"/>
      <c r="D818" s="59"/>
      <c r="E818" s="68"/>
      <c r="F818" s="95"/>
      <c r="G818" s="21"/>
    </row>
    <row r="819" spans="2:7" s="32" customFormat="1" x14ac:dyDescent="0.25">
      <c r="B819" s="39"/>
      <c r="D819" s="59"/>
      <c r="E819" s="68"/>
      <c r="F819" s="95"/>
      <c r="G819" s="21"/>
    </row>
    <row r="820" spans="2:7" s="32" customFormat="1" x14ac:dyDescent="0.25">
      <c r="B820" s="39"/>
      <c r="D820" s="59"/>
      <c r="E820" s="68"/>
      <c r="F820" s="95"/>
      <c r="G820" s="21"/>
    </row>
    <row r="821" spans="2:7" s="32" customFormat="1" x14ac:dyDescent="0.25">
      <c r="B821" s="39"/>
      <c r="D821" s="59"/>
      <c r="E821" s="68"/>
      <c r="F821" s="95"/>
      <c r="G821" s="21"/>
    </row>
    <row r="822" spans="2:7" s="32" customFormat="1" x14ac:dyDescent="0.25">
      <c r="B822" s="39"/>
      <c r="D822" s="59"/>
      <c r="E822" s="68"/>
      <c r="F822" s="95"/>
      <c r="G822" s="21"/>
    </row>
    <row r="823" spans="2:7" s="32" customFormat="1" x14ac:dyDescent="0.25">
      <c r="B823" s="39"/>
      <c r="D823" s="59"/>
      <c r="E823" s="68"/>
      <c r="F823" s="95"/>
      <c r="G823" s="21"/>
    </row>
    <row r="824" spans="2:7" s="32" customFormat="1" x14ac:dyDescent="0.25">
      <c r="B824" s="39"/>
      <c r="D824" s="59"/>
      <c r="E824" s="68"/>
      <c r="F824" s="95"/>
      <c r="G824" s="21"/>
    </row>
    <row r="825" spans="2:7" s="32" customFormat="1" x14ac:dyDescent="0.25">
      <c r="B825" s="39"/>
      <c r="D825" s="59"/>
      <c r="E825" s="68"/>
      <c r="F825" s="95"/>
      <c r="G825" s="21"/>
    </row>
    <row r="826" spans="2:7" s="32" customFormat="1" x14ac:dyDescent="0.25">
      <c r="B826" s="39"/>
      <c r="D826" s="59"/>
      <c r="E826" s="68"/>
      <c r="F826" s="95"/>
      <c r="G826" s="21"/>
    </row>
    <row r="827" spans="2:7" s="32" customFormat="1" x14ac:dyDescent="0.25">
      <c r="B827" s="39"/>
      <c r="D827" s="59"/>
      <c r="E827" s="68"/>
      <c r="F827" s="95"/>
      <c r="G827" s="21"/>
    </row>
    <row r="828" spans="2:7" s="32" customFormat="1" x14ac:dyDescent="0.25">
      <c r="B828" s="39"/>
      <c r="D828" s="59"/>
      <c r="E828" s="68"/>
      <c r="F828" s="95"/>
      <c r="G828" s="21"/>
    </row>
    <row r="829" spans="2:7" s="32" customFormat="1" x14ac:dyDescent="0.25">
      <c r="B829" s="39"/>
      <c r="D829" s="59"/>
      <c r="E829" s="68"/>
      <c r="F829" s="95"/>
      <c r="G829" s="21"/>
    </row>
    <row r="830" spans="2:7" s="32" customFormat="1" x14ac:dyDescent="0.25">
      <c r="B830" s="39"/>
      <c r="D830" s="59"/>
      <c r="E830" s="68"/>
      <c r="F830" s="95"/>
      <c r="G830" s="21"/>
    </row>
    <row r="831" spans="2:7" s="32" customFormat="1" x14ac:dyDescent="0.25">
      <c r="B831" s="39"/>
      <c r="D831" s="59"/>
      <c r="E831" s="68"/>
      <c r="F831" s="95"/>
      <c r="G831" s="21"/>
    </row>
    <row r="832" spans="2:7" s="32" customFormat="1" x14ac:dyDescent="0.25">
      <c r="B832" s="39"/>
      <c r="D832" s="59"/>
      <c r="E832" s="68"/>
      <c r="F832" s="95"/>
      <c r="G832" s="21"/>
    </row>
    <row r="833" spans="2:7" s="32" customFormat="1" x14ac:dyDescent="0.25">
      <c r="B833" s="39"/>
      <c r="D833" s="59"/>
      <c r="E833" s="68"/>
      <c r="F833" s="95"/>
      <c r="G833" s="21"/>
    </row>
    <row r="834" spans="2:7" s="32" customFormat="1" x14ac:dyDescent="0.25">
      <c r="B834" s="39"/>
      <c r="D834" s="59"/>
      <c r="E834" s="68"/>
      <c r="F834" s="95"/>
      <c r="G834" s="21"/>
    </row>
    <row r="835" spans="2:7" s="32" customFormat="1" x14ac:dyDescent="0.25">
      <c r="B835" s="39"/>
      <c r="D835" s="59"/>
      <c r="E835" s="68"/>
      <c r="F835" s="95"/>
      <c r="G835" s="21"/>
    </row>
    <row r="836" spans="2:7" s="32" customFormat="1" x14ac:dyDescent="0.25">
      <c r="B836" s="39"/>
      <c r="D836" s="59"/>
      <c r="E836" s="68"/>
      <c r="F836" s="95"/>
      <c r="G836" s="21"/>
    </row>
    <row r="837" spans="2:7" s="32" customFormat="1" x14ac:dyDescent="0.25">
      <c r="B837" s="39"/>
      <c r="D837" s="59"/>
      <c r="E837" s="68"/>
      <c r="F837" s="95"/>
      <c r="G837" s="21"/>
    </row>
    <row r="838" spans="2:7" s="32" customFormat="1" x14ac:dyDescent="0.25">
      <c r="B838" s="39"/>
      <c r="D838" s="59"/>
      <c r="E838" s="68"/>
      <c r="F838" s="95"/>
      <c r="G838" s="21"/>
    </row>
    <row r="839" spans="2:7" s="32" customFormat="1" x14ac:dyDescent="0.25">
      <c r="B839" s="39"/>
      <c r="D839" s="59"/>
      <c r="E839" s="68"/>
      <c r="F839" s="95"/>
      <c r="G839" s="21"/>
    </row>
    <row r="840" spans="2:7" s="32" customFormat="1" x14ac:dyDescent="0.25">
      <c r="B840" s="39"/>
      <c r="D840" s="59"/>
      <c r="E840" s="68"/>
      <c r="F840" s="95"/>
      <c r="G840" s="21"/>
    </row>
    <row r="841" spans="2:7" s="32" customFormat="1" x14ac:dyDescent="0.25">
      <c r="B841" s="39"/>
      <c r="D841" s="59"/>
      <c r="E841" s="68"/>
      <c r="F841" s="95"/>
      <c r="G841" s="21"/>
    </row>
    <row r="842" spans="2:7" s="32" customFormat="1" x14ac:dyDescent="0.25">
      <c r="B842" s="39"/>
      <c r="D842" s="59"/>
      <c r="E842" s="68"/>
      <c r="F842" s="95"/>
      <c r="G842" s="21"/>
    </row>
    <row r="843" spans="2:7" s="32" customFormat="1" x14ac:dyDescent="0.25">
      <c r="B843" s="39"/>
      <c r="D843" s="59"/>
      <c r="E843" s="68"/>
      <c r="F843" s="95"/>
      <c r="G843" s="21"/>
    </row>
    <row r="844" spans="2:7" s="32" customFormat="1" x14ac:dyDescent="0.25">
      <c r="B844" s="39"/>
      <c r="D844" s="59"/>
      <c r="E844" s="68"/>
      <c r="F844" s="95"/>
      <c r="G844" s="21"/>
    </row>
    <row r="845" spans="2:7" s="32" customFormat="1" x14ac:dyDescent="0.25">
      <c r="B845" s="39"/>
      <c r="D845" s="59"/>
      <c r="E845" s="68"/>
      <c r="F845" s="95"/>
      <c r="G845" s="21"/>
    </row>
    <row r="846" spans="2:7" s="32" customFormat="1" x14ac:dyDescent="0.25">
      <c r="B846" s="39"/>
      <c r="D846" s="59"/>
      <c r="E846" s="68"/>
      <c r="F846" s="95"/>
      <c r="G846" s="21"/>
    </row>
    <row r="847" spans="2:7" s="32" customFormat="1" x14ac:dyDescent="0.25">
      <c r="B847" s="39"/>
      <c r="D847" s="59"/>
      <c r="E847" s="68"/>
      <c r="F847" s="95"/>
      <c r="G847" s="21"/>
    </row>
    <row r="848" spans="2:7" s="32" customFormat="1" x14ac:dyDescent="0.25">
      <c r="B848" s="39"/>
      <c r="D848" s="59"/>
      <c r="E848" s="68"/>
      <c r="F848" s="95"/>
      <c r="G848" s="21"/>
    </row>
    <row r="849" spans="2:7" s="32" customFormat="1" x14ac:dyDescent="0.25">
      <c r="B849" s="39"/>
      <c r="D849" s="59"/>
      <c r="E849" s="68"/>
      <c r="F849" s="95"/>
      <c r="G849" s="21"/>
    </row>
    <row r="850" spans="2:7" s="32" customFormat="1" x14ac:dyDescent="0.25">
      <c r="B850" s="39"/>
      <c r="D850" s="59"/>
      <c r="E850" s="68"/>
      <c r="F850" s="95"/>
      <c r="G850" s="21"/>
    </row>
    <row r="851" spans="2:7" s="32" customFormat="1" x14ac:dyDescent="0.25">
      <c r="B851" s="39"/>
      <c r="D851" s="59"/>
      <c r="E851" s="68"/>
      <c r="F851" s="95"/>
      <c r="G851" s="21"/>
    </row>
    <row r="852" spans="2:7" s="32" customFormat="1" x14ac:dyDescent="0.25">
      <c r="B852" s="39"/>
      <c r="D852" s="59"/>
      <c r="E852" s="68"/>
      <c r="F852" s="95"/>
      <c r="G852" s="21"/>
    </row>
    <row r="853" spans="2:7" s="32" customFormat="1" x14ac:dyDescent="0.25">
      <c r="B853" s="39"/>
      <c r="D853" s="59"/>
      <c r="E853" s="68"/>
      <c r="F853" s="95"/>
      <c r="G853" s="21"/>
    </row>
    <row r="854" spans="2:7" s="32" customFormat="1" x14ac:dyDescent="0.25">
      <c r="B854" s="39"/>
      <c r="D854" s="59"/>
      <c r="E854" s="68"/>
      <c r="F854" s="95"/>
      <c r="G854" s="21"/>
    </row>
    <row r="855" spans="2:7" s="32" customFormat="1" x14ac:dyDescent="0.25">
      <c r="B855" s="39"/>
      <c r="D855" s="59"/>
      <c r="E855" s="68"/>
      <c r="F855" s="95"/>
      <c r="G855" s="21"/>
    </row>
    <row r="856" spans="2:7" s="32" customFormat="1" x14ac:dyDescent="0.25">
      <c r="B856" s="39"/>
      <c r="D856" s="59"/>
      <c r="E856" s="68"/>
      <c r="F856" s="95"/>
      <c r="G856" s="21"/>
    </row>
    <row r="857" spans="2:7" s="32" customFormat="1" x14ac:dyDescent="0.25">
      <c r="B857" s="39"/>
      <c r="D857" s="59"/>
      <c r="E857" s="68"/>
      <c r="F857" s="95"/>
      <c r="G857" s="21"/>
    </row>
    <row r="858" spans="2:7" s="32" customFormat="1" x14ac:dyDescent="0.25">
      <c r="B858" s="39"/>
      <c r="D858" s="59"/>
      <c r="E858" s="68"/>
      <c r="F858" s="95"/>
      <c r="G858" s="21"/>
    </row>
    <row r="859" spans="2:7" s="32" customFormat="1" x14ac:dyDescent="0.25">
      <c r="B859" s="39"/>
      <c r="D859" s="59"/>
      <c r="E859" s="68"/>
      <c r="F859" s="95"/>
      <c r="G859" s="21"/>
    </row>
    <row r="860" spans="2:7" s="32" customFormat="1" x14ac:dyDescent="0.25">
      <c r="B860" s="39"/>
      <c r="D860" s="59"/>
      <c r="E860" s="68"/>
      <c r="F860" s="95"/>
      <c r="G860" s="21"/>
    </row>
    <row r="861" spans="2:7" s="32" customFormat="1" x14ac:dyDescent="0.25">
      <c r="B861" s="39"/>
      <c r="D861" s="59"/>
      <c r="E861" s="68"/>
      <c r="F861" s="95"/>
      <c r="G861" s="21"/>
    </row>
    <row r="862" spans="2:7" s="32" customFormat="1" x14ac:dyDescent="0.25">
      <c r="B862" s="39"/>
      <c r="D862" s="59"/>
      <c r="E862" s="68"/>
      <c r="F862" s="95"/>
      <c r="G862" s="21"/>
    </row>
    <row r="863" spans="2:7" s="32" customFormat="1" x14ac:dyDescent="0.25">
      <c r="B863" s="39"/>
      <c r="D863" s="59"/>
      <c r="E863" s="68"/>
      <c r="F863" s="95"/>
      <c r="G863" s="21"/>
    </row>
    <row r="864" spans="2:7" s="32" customFormat="1" x14ac:dyDescent="0.25">
      <c r="B864" s="39"/>
      <c r="D864" s="59"/>
      <c r="E864" s="68"/>
      <c r="F864" s="95"/>
      <c r="G864" s="21"/>
    </row>
    <row r="865" spans="2:7" s="32" customFormat="1" x14ac:dyDescent="0.25">
      <c r="B865" s="39"/>
      <c r="D865" s="59"/>
      <c r="E865" s="68"/>
      <c r="F865" s="95"/>
      <c r="G865" s="21"/>
    </row>
    <row r="866" spans="2:7" s="32" customFormat="1" x14ac:dyDescent="0.25">
      <c r="B866" s="39"/>
      <c r="D866" s="59"/>
      <c r="E866" s="68"/>
      <c r="F866" s="95"/>
      <c r="G866" s="21"/>
    </row>
    <row r="867" spans="2:7" s="32" customFormat="1" x14ac:dyDescent="0.25">
      <c r="B867" s="39"/>
      <c r="D867" s="59"/>
      <c r="E867" s="68"/>
      <c r="F867" s="95"/>
      <c r="G867" s="21"/>
    </row>
    <row r="868" spans="2:7" s="32" customFormat="1" x14ac:dyDescent="0.25">
      <c r="B868" s="39"/>
      <c r="D868" s="59"/>
      <c r="E868" s="68"/>
      <c r="F868" s="95"/>
      <c r="G868" s="21"/>
    </row>
    <row r="869" spans="2:7" s="32" customFormat="1" x14ac:dyDescent="0.25">
      <c r="B869" s="39"/>
      <c r="D869" s="59"/>
      <c r="E869" s="68"/>
      <c r="F869" s="95"/>
      <c r="G869" s="21"/>
    </row>
    <row r="870" spans="2:7" s="32" customFormat="1" x14ac:dyDescent="0.25">
      <c r="B870" s="39"/>
      <c r="D870" s="59"/>
      <c r="E870" s="68"/>
      <c r="F870" s="95"/>
      <c r="G870" s="21"/>
    </row>
    <row r="871" spans="2:7" s="32" customFormat="1" x14ac:dyDescent="0.25">
      <c r="B871" s="39"/>
      <c r="D871" s="59"/>
      <c r="E871" s="68"/>
      <c r="F871" s="95"/>
      <c r="G871" s="21"/>
    </row>
    <row r="872" spans="2:7" s="32" customFormat="1" x14ac:dyDescent="0.25">
      <c r="B872" s="39"/>
      <c r="D872" s="59"/>
      <c r="E872" s="68"/>
      <c r="F872" s="95"/>
      <c r="G872" s="21"/>
    </row>
    <row r="873" spans="2:7" s="32" customFormat="1" x14ac:dyDescent="0.25">
      <c r="B873" s="39"/>
      <c r="D873" s="59"/>
      <c r="E873" s="68"/>
      <c r="F873" s="95"/>
      <c r="G873" s="21"/>
    </row>
    <row r="874" spans="2:7" s="32" customFormat="1" x14ac:dyDescent="0.25">
      <c r="B874" s="39"/>
      <c r="D874" s="59"/>
      <c r="E874" s="68"/>
      <c r="F874" s="95"/>
      <c r="G874" s="21"/>
    </row>
    <row r="875" spans="2:7" s="32" customFormat="1" x14ac:dyDescent="0.25">
      <c r="B875" s="39"/>
      <c r="D875" s="59"/>
      <c r="E875" s="68"/>
      <c r="F875" s="95"/>
      <c r="G875" s="21"/>
    </row>
    <row r="876" spans="2:7" s="32" customFormat="1" x14ac:dyDescent="0.25">
      <c r="B876" s="39"/>
      <c r="D876" s="59"/>
      <c r="E876" s="68"/>
      <c r="F876" s="95"/>
      <c r="G876" s="21"/>
    </row>
    <row r="877" spans="2:7" s="32" customFormat="1" x14ac:dyDescent="0.25">
      <c r="B877" s="39"/>
      <c r="D877" s="59"/>
      <c r="E877" s="68"/>
      <c r="F877" s="95"/>
      <c r="G877" s="21"/>
    </row>
    <row r="878" spans="2:7" s="32" customFormat="1" x14ac:dyDescent="0.25">
      <c r="B878" s="39"/>
      <c r="D878" s="59"/>
      <c r="E878" s="68"/>
      <c r="F878" s="95"/>
      <c r="G878" s="21"/>
    </row>
    <row r="879" spans="2:7" s="32" customFormat="1" x14ac:dyDescent="0.25">
      <c r="B879" s="39"/>
      <c r="D879" s="59"/>
      <c r="E879" s="68"/>
      <c r="F879" s="95"/>
      <c r="G879" s="21"/>
    </row>
    <row r="880" spans="2:7" s="32" customFormat="1" x14ac:dyDescent="0.25">
      <c r="B880" s="39"/>
      <c r="D880" s="59"/>
      <c r="E880" s="68"/>
      <c r="F880" s="95"/>
      <c r="G880" s="21"/>
    </row>
    <row r="881" spans="2:7" s="32" customFormat="1" x14ac:dyDescent="0.25">
      <c r="B881" s="39"/>
      <c r="D881" s="59"/>
      <c r="E881" s="68"/>
      <c r="F881" s="95"/>
      <c r="G881" s="21"/>
    </row>
    <row r="882" spans="2:7" s="32" customFormat="1" x14ac:dyDescent="0.25">
      <c r="B882" s="39"/>
      <c r="D882" s="59"/>
      <c r="E882" s="68"/>
      <c r="F882" s="95"/>
      <c r="G882" s="21"/>
    </row>
    <row r="883" spans="2:7" s="32" customFormat="1" x14ac:dyDescent="0.25">
      <c r="B883" s="39"/>
      <c r="D883" s="59"/>
      <c r="E883" s="68"/>
      <c r="F883" s="95"/>
      <c r="G883" s="21"/>
    </row>
    <row r="884" spans="2:7" s="32" customFormat="1" x14ac:dyDescent="0.25">
      <c r="B884" s="39"/>
      <c r="D884" s="59"/>
      <c r="E884" s="68"/>
      <c r="F884" s="95"/>
      <c r="G884" s="21"/>
    </row>
    <row r="885" spans="2:7" s="32" customFormat="1" x14ac:dyDescent="0.25">
      <c r="B885" s="39"/>
      <c r="D885" s="59"/>
      <c r="E885" s="68"/>
      <c r="F885" s="95"/>
      <c r="G885" s="21"/>
    </row>
    <row r="886" spans="2:7" s="32" customFormat="1" x14ac:dyDescent="0.25">
      <c r="B886" s="39"/>
      <c r="D886" s="59"/>
      <c r="E886" s="68"/>
      <c r="F886" s="95"/>
      <c r="G886" s="21"/>
    </row>
    <row r="887" spans="2:7" s="32" customFormat="1" x14ac:dyDescent="0.25">
      <c r="B887" s="39"/>
      <c r="D887" s="59"/>
      <c r="E887" s="68"/>
      <c r="F887" s="95"/>
      <c r="G887" s="21"/>
    </row>
    <row r="888" spans="2:7" s="32" customFormat="1" x14ac:dyDescent="0.25">
      <c r="B888" s="39"/>
      <c r="D888" s="59"/>
      <c r="E888" s="68"/>
      <c r="F888" s="95"/>
      <c r="G888" s="21"/>
    </row>
    <row r="889" spans="2:7" s="32" customFormat="1" x14ac:dyDescent="0.25">
      <c r="B889" s="39"/>
      <c r="D889" s="59"/>
      <c r="E889" s="68"/>
      <c r="F889" s="95"/>
      <c r="G889" s="21"/>
    </row>
    <row r="890" spans="2:7" s="32" customFormat="1" x14ac:dyDescent="0.25">
      <c r="B890" s="39"/>
      <c r="D890" s="59"/>
      <c r="E890" s="68"/>
      <c r="F890" s="95"/>
      <c r="G890" s="21"/>
    </row>
    <row r="891" spans="2:7" s="32" customFormat="1" x14ac:dyDescent="0.25">
      <c r="B891" s="39"/>
      <c r="D891" s="59"/>
      <c r="E891" s="68"/>
      <c r="F891" s="95"/>
      <c r="G891" s="21"/>
    </row>
    <row r="892" spans="2:7" s="32" customFormat="1" x14ac:dyDescent="0.25">
      <c r="B892" s="39"/>
      <c r="D892" s="59"/>
      <c r="E892" s="68"/>
      <c r="F892" s="95"/>
      <c r="G892" s="21"/>
    </row>
    <row r="893" spans="2:7" s="32" customFormat="1" x14ac:dyDescent="0.25">
      <c r="B893" s="39"/>
      <c r="D893" s="59"/>
      <c r="E893" s="68"/>
      <c r="F893" s="95"/>
      <c r="G893" s="21"/>
    </row>
    <row r="894" spans="2:7" s="32" customFormat="1" x14ac:dyDescent="0.25">
      <c r="B894" s="39"/>
      <c r="D894" s="59"/>
      <c r="E894" s="68"/>
      <c r="F894" s="95"/>
      <c r="G894" s="21"/>
    </row>
    <row r="895" spans="2:7" s="32" customFormat="1" x14ac:dyDescent="0.25">
      <c r="B895" s="39"/>
      <c r="D895" s="59"/>
      <c r="E895" s="68"/>
      <c r="F895" s="95"/>
      <c r="G895" s="21"/>
    </row>
    <row r="896" spans="2:7" s="32" customFormat="1" x14ac:dyDescent="0.25">
      <c r="B896" s="39"/>
      <c r="D896" s="59"/>
      <c r="E896" s="68"/>
      <c r="F896" s="95"/>
      <c r="G896" s="21"/>
    </row>
    <row r="897" spans="2:7" s="32" customFormat="1" x14ac:dyDescent="0.25">
      <c r="B897" s="39"/>
      <c r="D897" s="59"/>
      <c r="E897" s="68"/>
      <c r="F897" s="95"/>
      <c r="G897" s="21"/>
    </row>
    <row r="898" spans="2:7" s="32" customFormat="1" x14ac:dyDescent="0.25">
      <c r="B898" s="39"/>
      <c r="D898" s="59"/>
      <c r="E898" s="68"/>
      <c r="F898" s="95"/>
      <c r="G898" s="21"/>
    </row>
    <row r="899" spans="2:7" s="32" customFormat="1" x14ac:dyDescent="0.25">
      <c r="B899" s="39"/>
      <c r="D899" s="59"/>
      <c r="E899" s="68"/>
      <c r="F899" s="95"/>
      <c r="G899" s="21"/>
    </row>
    <row r="900" spans="2:7" s="32" customFormat="1" x14ac:dyDescent="0.25">
      <c r="B900" s="39"/>
      <c r="D900" s="59"/>
      <c r="E900" s="68"/>
      <c r="F900" s="95"/>
      <c r="G900" s="21"/>
    </row>
    <row r="901" spans="2:7" s="32" customFormat="1" x14ac:dyDescent="0.25">
      <c r="B901" s="39"/>
      <c r="D901" s="59"/>
      <c r="E901" s="68"/>
      <c r="F901" s="95"/>
      <c r="G901" s="21"/>
    </row>
    <row r="902" spans="2:7" s="32" customFormat="1" x14ac:dyDescent="0.25">
      <c r="B902" s="39"/>
      <c r="D902" s="59"/>
      <c r="E902" s="68"/>
      <c r="F902" s="95"/>
      <c r="G902" s="21"/>
    </row>
    <row r="903" spans="2:7" s="32" customFormat="1" x14ac:dyDescent="0.25">
      <c r="B903" s="39"/>
      <c r="D903" s="59"/>
      <c r="E903" s="68"/>
      <c r="F903" s="95"/>
      <c r="G903" s="21"/>
    </row>
    <row r="904" spans="2:7" s="32" customFormat="1" x14ac:dyDescent="0.25">
      <c r="B904" s="39"/>
      <c r="D904" s="59"/>
      <c r="E904" s="68"/>
      <c r="F904" s="95"/>
      <c r="G904" s="21"/>
    </row>
    <row r="905" spans="2:7" s="32" customFormat="1" x14ac:dyDescent="0.25">
      <c r="B905" s="39"/>
      <c r="D905" s="59"/>
      <c r="E905" s="68"/>
      <c r="F905" s="95"/>
      <c r="G905" s="21"/>
    </row>
    <row r="906" spans="2:7" s="32" customFormat="1" x14ac:dyDescent="0.25">
      <c r="B906" s="39"/>
      <c r="D906" s="59"/>
      <c r="E906" s="68"/>
      <c r="F906" s="95"/>
      <c r="G906" s="21"/>
    </row>
    <row r="907" spans="2:7" s="32" customFormat="1" x14ac:dyDescent="0.25">
      <c r="B907" s="39"/>
      <c r="D907" s="59"/>
      <c r="E907" s="68"/>
      <c r="F907" s="95"/>
      <c r="G907" s="21"/>
    </row>
  </sheetData>
  <mergeCells count="16">
    <mergeCell ref="A15:F15"/>
    <mergeCell ref="B16:E16"/>
    <mergeCell ref="B14:E14"/>
    <mergeCell ref="A9:F9"/>
    <mergeCell ref="A7:F7"/>
    <mergeCell ref="A11:F11"/>
    <mergeCell ref="A13:F13"/>
    <mergeCell ref="B10:E10"/>
    <mergeCell ref="B12:E12"/>
    <mergeCell ref="B1:F1"/>
    <mergeCell ref="A2:F2"/>
    <mergeCell ref="B4:E4"/>
    <mergeCell ref="B6:E6"/>
    <mergeCell ref="B8:E8"/>
    <mergeCell ref="A5:F5"/>
    <mergeCell ref="A3:F3"/>
  </mergeCells>
  <pageMargins left="0.51181102362204722" right="0.39370078740157483" top="0.94488188976377963" bottom="0.74803149606299213" header="0.23622047244094491" footer="0.31496062992125984"/>
  <pageSetup paperSize="9" scale="98" firstPageNumber="8"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D</oddHeader>
    <oddFooter>&amp;L&amp;"Arial,Regular"&amp;9Bill of Quantities&amp;R&amp;"Arial,Regular"&amp;9BOQ.&amp;P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CBE3-2821-418E-9530-2497C0345403}">
  <dimension ref="A1:H522"/>
  <sheetViews>
    <sheetView view="pageBreakPreview" topLeftCell="A192" zoomScale="115" zoomScaleNormal="100" zoomScaleSheetLayoutView="115" workbookViewId="0">
      <selection activeCell="C205" sqref="C205"/>
    </sheetView>
  </sheetViews>
  <sheetFormatPr defaultColWidth="9" defaultRowHeight="12" x14ac:dyDescent="0.25"/>
  <cols>
    <col min="1" max="1" width="7.5703125" style="140" customWidth="1"/>
    <col min="2" max="2" width="9.42578125" style="140" customWidth="1"/>
    <col min="3" max="3" width="35.140625" style="120" customWidth="1"/>
    <col min="4" max="4" width="5" style="140" customWidth="1"/>
    <col min="5" max="5" width="6.85546875" style="167" bestFit="1" customWidth="1"/>
    <col min="6" max="6" width="11.7109375" style="192" customWidth="1"/>
    <col min="7" max="7" width="17.5703125" style="120" customWidth="1"/>
    <col min="8" max="8" width="41.7109375" style="164" customWidth="1"/>
    <col min="9" max="16384" width="9" style="120"/>
  </cols>
  <sheetData>
    <row r="1" spans="1:7" x14ac:dyDescent="0.25">
      <c r="A1" s="144"/>
      <c r="B1" s="137"/>
      <c r="C1" s="528" t="s">
        <v>428</v>
      </c>
      <c r="D1" s="528"/>
      <c r="E1" s="528"/>
      <c r="F1" s="528"/>
      <c r="G1" s="529"/>
    </row>
    <row r="2" spans="1:7" ht="27.75" customHeight="1" x14ac:dyDescent="0.25">
      <c r="A2" s="73" t="s">
        <v>91</v>
      </c>
      <c r="B2" s="73" t="s">
        <v>21</v>
      </c>
      <c r="C2" s="148" t="s">
        <v>0</v>
      </c>
      <c r="D2" s="73" t="s">
        <v>1</v>
      </c>
      <c r="E2" s="74" t="s">
        <v>22</v>
      </c>
      <c r="F2" s="75" t="s">
        <v>2</v>
      </c>
      <c r="G2" s="73" t="s">
        <v>77</v>
      </c>
    </row>
    <row r="3" spans="1:7" x14ac:dyDescent="0.25">
      <c r="A3" s="383"/>
      <c r="B3" s="380"/>
      <c r="C3" s="380"/>
      <c r="D3" s="380"/>
      <c r="E3" s="381"/>
      <c r="F3" s="382"/>
      <c r="G3" s="380"/>
    </row>
    <row r="4" spans="1:7" ht="24" x14ac:dyDescent="0.25">
      <c r="A4" s="329" t="s">
        <v>133</v>
      </c>
      <c r="B4" s="283"/>
      <c r="C4" s="284" t="s">
        <v>1012</v>
      </c>
      <c r="D4" s="5"/>
      <c r="E4" s="58"/>
      <c r="F4" s="78"/>
      <c r="G4" s="5"/>
    </row>
    <row r="5" spans="1:7" x14ac:dyDescent="0.25">
      <c r="A5" s="377"/>
      <c r="B5" s="378"/>
      <c r="C5" s="379"/>
      <c r="D5" s="380"/>
      <c r="E5" s="381"/>
      <c r="F5" s="382"/>
      <c r="G5" s="380"/>
    </row>
    <row r="6" spans="1:7" x14ac:dyDescent="0.25">
      <c r="A6" s="181"/>
      <c r="B6" s="152"/>
      <c r="C6" s="113" t="s">
        <v>1018</v>
      </c>
      <c r="D6" s="5"/>
      <c r="E6" s="58"/>
      <c r="F6" s="78"/>
      <c r="G6" s="5"/>
    </row>
    <row r="7" spans="1:7" x14ac:dyDescent="0.25">
      <c r="A7" s="377"/>
      <c r="B7" s="378"/>
      <c r="C7" s="379"/>
      <c r="D7" s="380"/>
      <c r="E7" s="381"/>
      <c r="F7" s="382"/>
      <c r="G7" s="380"/>
    </row>
    <row r="8" spans="1:7" ht="24" x14ac:dyDescent="0.25">
      <c r="A8" s="227" t="s">
        <v>1152</v>
      </c>
      <c r="B8" s="207" t="s">
        <v>14</v>
      </c>
      <c r="C8" s="38" t="s">
        <v>241</v>
      </c>
      <c r="D8" s="207"/>
      <c r="E8" s="208"/>
      <c r="F8" s="270"/>
      <c r="G8" s="207"/>
    </row>
    <row r="9" spans="1:7" x14ac:dyDescent="0.25">
      <c r="A9" s="450"/>
      <c r="B9" s="400"/>
      <c r="C9" s="420"/>
      <c r="D9" s="205"/>
      <c r="E9" s="425"/>
      <c r="F9" s="286"/>
      <c r="G9" s="205"/>
    </row>
    <row r="10" spans="1:7" ht="13.5" x14ac:dyDescent="0.25">
      <c r="A10" s="214" t="s">
        <v>1153</v>
      </c>
      <c r="B10" s="210" t="s">
        <v>5</v>
      </c>
      <c r="C10" s="119" t="s">
        <v>393</v>
      </c>
      <c r="D10" s="210" t="s">
        <v>87</v>
      </c>
      <c r="E10" s="219">
        <f>E12</f>
        <v>57.5</v>
      </c>
      <c r="F10" s="274"/>
      <c r="G10" s="451"/>
    </row>
    <row r="11" spans="1:7" x14ac:dyDescent="0.25">
      <c r="A11" s="450"/>
      <c r="B11" s="400"/>
      <c r="C11" s="420"/>
      <c r="D11" s="205"/>
      <c r="E11" s="425"/>
      <c r="F11" s="286"/>
      <c r="G11" s="205"/>
    </row>
    <row r="12" spans="1:7" ht="36" x14ac:dyDescent="0.25">
      <c r="A12" s="214" t="s">
        <v>1154</v>
      </c>
      <c r="B12" s="210" t="s">
        <v>394</v>
      </c>
      <c r="C12" s="119" t="s">
        <v>395</v>
      </c>
      <c r="D12" s="210" t="s">
        <v>87</v>
      </c>
      <c r="E12" s="211">
        <f>(27.8)+(13.3)+(15)+(1.4)</f>
        <v>57.5</v>
      </c>
      <c r="F12" s="274"/>
      <c r="G12" s="255"/>
    </row>
    <row r="13" spans="1:7" x14ac:dyDescent="0.25">
      <c r="A13" s="450"/>
      <c r="B13" s="400"/>
      <c r="C13" s="420"/>
      <c r="D13" s="205"/>
      <c r="E13" s="425"/>
      <c r="F13" s="286"/>
      <c r="G13" s="205"/>
    </row>
    <row r="14" spans="1:7" ht="60" x14ac:dyDescent="0.25">
      <c r="A14" s="214" t="s">
        <v>1155</v>
      </c>
      <c r="B14" s="210" t="s">
        <v>242</v>
      </c>
      <c r="C14" s="119" t="s">
        <v>243</v>
      </c>
      <c r="D14" s="210" t="s">
        <v>28</v>
      </c>
      <c r="E14" s="219">
        <v>1</v>
      </c>
      <c r="F14" s="274"/>
      <c r="G14" s="451"/>
    </row>
    <row r="15" spans="1:7" x14ac:dyDescent="0.25">
      <c r="A15" s="450"/>
      <c r="B15" s="400"/>
      <c r="C15" s="420"/>
      <c r="D15" s="205"/>
      <c r="E15" s="425"/>
      <c r="F15" s="286"/>
      <c r="G15" s="205"/>
    </row>
    <row r="16" spans="1:7" ht="24" x14ac:dyDescent="0.25">
      <c r="A16" s="214" t="s">
        <v>1156</v>
      </c>
      <c r="B16" s="210" t="s">
        <v>2148</v>
      </c>
      <c r="C16" s="119" t="s">
        <v>427</v>
      </c>
      <c r="D16" s="210" t="s">
        <v>6</v>
      </c>
      <c r="E16" s="219">
        <v>70</v>
      </c>
      <c r="F16" s="274"/>
      <c r="G16" s="255"/>
    </row>
    <row r="17" spans="1:7" x14ac:dyDescent="0.25">
      <c r="A17" s="450"/>
      <c r="B17" s="400"/>
      <c r="C17" s="420"/>
      <c r="D17" s="205"/>
      <c r="E17" s="425"/>
      <c r="F17" s="286"/>
      <c r="G17" s="205"/>
    </row>
    <row r="18" spans="1:7" ht="26.25" customHeight="1" x14ac:dyDescent="0.25">
      <c r="A18" s="214" t="s">
        <v>1157</v>
      </c>
      <c r="B18" s="210" t="s">
        <v>2147</v>
      </c>
      <c r="C18" s="119" t="s">
        <v>426</v>
      </c>
      <c r="D18" s="210" t="s">
        <v>87</v>
      </c>
      <c r="E18" s="219">
        <v>180</v>
      </c>
      <c r="F18" s="274"/>
      <c r="G18" s="255"/>
    </row>
    <row r="19" spans="1:7" x14ac:dyDescent="0.25">
      <c r="A19" s="450"/>
      <c r="B19" s="400"/>
      <c r="C19" s="420"/>
      <c r="D19" s="205"/>
      <c r="E19" s="425"/>
      <c r="F19" s="286"/>
      <c r="G19" s="205"/>
    </row>
    <row r="20" spans="1:7" ht="36" x14ac:dyDescent="0.25">
      <c r="A20" s="214" t="s">
        <v>1158</v>
      </c>
      <c r="B20" s="210" t="s">
        <v>2146</v>
      </c>
      <c r="C20" s="119" t="s">
        <v>429</v>
      </c>
      <c r="D20" s="210" t="s">
        <v>28</v>
      </c>
      <c r="E20" s="219">
        <v>1</v>
      </c>
      <c r="F20" s="274"/>
      <c r="G20" s="255"/>
    </row>
    <row r="21" spans="1:7" x14ac:dyDescent="0.25">
      <c r="A21" s="450"/>
      <c r="B21" s="400"/>
      <c r="C21" s="420"/>
      <c r="D21" s="205"/>
      <c r="E21" s="425"/>
      <c r="F21" s="286"/>
      <c r="G21" s="205"/>
    </row>
    <row r="22" spans="1:7" ht="24" x14ac:dyDescent="0.25">
      <c r="A22" s="227" t="s">
        <v>1159</v>
      </c>
      <c r="B22" s="207" t="s">
        <v>244</v>
      </c>
      <c r="C22" s="38" t="s">
        <v>9</v>
      </c>
      <c r="D22" s="142"/>
      <c r="E22" s="211"/>
      <c r="F22" s="270"/>
      <c r="G22" s="207"/>
    </row>
    <row r="23" spans="1:7" x14ac:dyDescent="0.25">
      <c r="A23" s="450"/>
      <c r="B23" s="400"/>
      <c r="C23" s="420"/>
      <c r="D23" s="205"/>
      <c r="E23" s="425"/>
      <c r="F23" s="286"/>
      <c r="G23" s="205"/>
    </row>
    <row r="24" spans="1:7" ht="84" x14ac:dyDescent="0.25">
      <c r="A24" s="214" t="s">
        <v>1160</v>
      </c>
      <c r="B24" s="210" t="s">
        <v>18</v>
      </c>
      <c r="C24" s="233" t="s">
        <v>1013</v>
      </c>
      <c r="D24" s="142" t="s">
        <v>88</v>
      </c>
      <c r="E24" s="211">
        <f>(27.8*2)+(13.3*4.5)+(15*2)+(1.4*3)</f>
        <v>149.64999999999998</v>
      </c>
      <c r="F24" s="274"/>
      <c r="G24" s="255"/>
    </row>
    <row r="25" spans="1:7" x14ac:dyDescent="0.25">
      <c r="A25" s="450"/>
      <c r="B25" s="400"/>
      <c r="C25" s="420"/>
      <c r="D25" s="205"/>
      <c r="E25" s="425"/>
      <c r="F25" s="286"/>
      <c r="G25" s="205"/>
    </row>
    <row r="26" spans="1:7" x14ac:dyDescent="0.25">
      <c r="A26" s="227"/>
      <c r="B26" s="210"/>
      <c r="C26" s="235" t="s">
        <v>2145</v>
      </c>
      <c r="D26" s="142"/>
      <c r="E26" s="211"/>
      <c r="F26" s="270"/>
      <c r="G26" s="207"/>
    </row>
    <row r="27" spans="1:7" x14ac:dyDescent="0.25">
      <c r="A27" s="450"/>
      <c r="B27" s="400"/>
      <c r="C27" s="420"/>
      <c r="D27" s="205"/>
      <c r="E27" s="425"/>
      <c r="F27" s="286"/>
      <c r="G27" s="205"/>
    </row>
    <row r="28" spans="1:7" ht="13.5" x14ac:dyDescent="0.25">
      <c r="A28" s="214" t="s">
        <v>1161</v>
      </c>
      <c r="B28" s="210"/>
      <c r="C28" s="235" t="s">
        <v>304</v>
      </c>
      <c r="D28" s="142" t="s">
        <v>88</v>
      </c>
      <c r="E28" s="211">
        <f>+ROUND(35%*E24,1)</f>
        <v>52.4</v>
      </c>
      <c r="F28" s="274"/>
      <c r="G28" s="255"/>
    </row>
    <row r="29" spans="1:7" x14ac:dyDescent="0.25">
      <c r="A29" s="450"/>
      <c r="B29" s="400"/>
      <c r="C29" s="420"/>
      <c r="D29" s="205"/>
      <c r="E29" s="425"/>
      <c r="F29" s="286"/>
      <c r="G29" s="205"/>
    </row>
    <row r="30" spans="1:7" ht="15" customHeight="1" x14ac:dyDescent="0.25">
      <c r="A30" s="214" t="s">
        <v>1162</v>
      </c>
      <c r="B30" s="210"/>
      <c r="C30" s="235" t="s">
        <v>396</v>
      </c>
      <c r="D30" s="142" t="s">
        <v>88</v>
      </c>
      <c r="E30" s="211">
        <f>+ROUND(5%*E24,1)</f>
        <v>7.5</v>
      </c>
      <c r="F30" s="274"/>
      <c r="G30" s="255"/>
    </row>
    <row r="31" spans="1:7" x14ac:dyDescent="0.25">
      <c r="A31" s="450"/>
      <c r="B31" s="400"/>
      <c r="C31" s="420"/>
      <c r="D31" s="205"/>
      <c r="E31" s="425"/>
      <c r="F31" s="286"/>
      <c r="G31" s="205"/>
    </row>
    <row r="32" spans="1:7" ht="36" x14ac:dyDescent="0.25">
      <c r="A32" s="214" t="s">
        <v>1163</v>
      </c>
      <c r="B32" s="210" t="s">
        <v>398</v>
      </c>
      <c r="C32" s="233" t="s">
        <v>999</v>
      </c>
      <c r="D32" s="142" t="s">
        <v>28</v>
      </c>
      <c r="E32" s="211">
        <v>1</v>
      </c>
      <c r="F32" s="274"/>
      <c r="G32" s="255"/>
    </row>
    <row r="33" spans="1:7" x14ac:dyDescent="0.25">
      <c r="A33" s="377"/>
      <c r="B33" s="378"/>
      <c r="C33" s="379"/>
      <c r="D33" s="380"/>
      <c r="E33" s="381"/>
      <c r="F33" s="382"/>
      <c r="G33" s="380"/>
    </row>
    <row r="34" spans="1:7" x14ac:dyDescent="0.25">
      <c r="A34" s="34"/>
      <c r="B34" s="112"/>
      <c r="C34" s="116"/>
      <c r="D34" s="121"/>
      <c r="E34" s="69"/>
      <c r="F34" s="115"/>
      <c r="G34" s="145"/>
    </row>
    <row r="35" spans="1:7" x14ac:dyDescent="0.25">
      <c r="A35" s="377"/>
      <c r="B35" s="378"/>
      <c r="C35" s="379"/>
      <c r="D35" s="380"/>
      <c r="E35" s="381"/>
      <c r="F35" s="382"/>
      <c r="G35" s="380"/>
    </row>
    <row r="36" spans="1:7" x14ac:dyDescent="0.25">
      <c r="A36" s="34"/>
      <c r="B36" s="112"/>
      <c r="C36" s="116"/>
      <c r="D36" s="121"/>
      <c r="E36" s="69"/>
      <c r="F36" s="115"/>
      <c r="G36" s="145"/>
    </row>
    <row r="37" spans="1:7" ht="28.5" customHeight="1" x14ac:dyDescent="0.25">
      <c r="A37" s="538" t="s">
        <v>609</v>
      </c>
      <c r="B37" s="538"/>
      <c r="C37" s="538"/>
      <c r="D37" s="538"/>
      <c r="E37" s="538"/>
      <c r="F37" s="538"/>
      <c r="G37" s="158"/>
    </row>
    <row r="38" spans="1:7" ht="28.5" customHeight="1" x14ac:dyDescent="0.25">
      <c r="A38" s="538" t="s">
        <v>610</v>
      </c>
      <c r="B38" s="538"/>
      <c r="C38" s="538"/>
      <c r="D38" s="538"/>
      <c r="E38" s="538"/>
      <c r="F38" s="538"/>
      <c r="G38" s="158"/>
    </row>
    <row r="39" spans="1:7" x14ac:dyDescent="0.25">
      <c r="A39" s="377"/>
      <c r="B39" s="378"/>
      <c r="C39" s="379"/>
      <c r="D39" s="380"/>
      <c r="E39" s="381"/>
      <c r="F39" s="382"/>
      <c r="G39" s="380"/>
    </row>
    <row r="40" spans="1:7" ht="24" x14ac:dyDescent="0.25">
      <c r="A40" s="227" t="s">
        <v>1164</v>
      </c>
      <c r="B40" s="207" t="s">
        <v>148</v>
      </c>
      <c r="C40" s="38" t="s">
        <v>422</v>
      </c>
      <c r="D40" s="142"/>
      <c r="E40" s="187"/>
      <c r="F40" s="270"/>
      <c r="G40" s="207"/>
    </row>
    <row r="41" spans="1:7" x14ac:dyDescent="0.25">
      <c r="A41" s="377"/>
      <c r="B41" s="378"/>
      <c r="C41" s="379"/>
      <c r="D41" s="380"/>
      <c r="E41" s="381"/>
      <c r="F41" s="382"/>
      <c r="G41" s="380"/>
    </row>
    <row r="42" spans="1:7" ht="15" customHeight="1" x14ac:dyDescent="0.25">
      <c r="A42" s="227"/>
      <c r="B42" s="206">
        <v>8.1999999999999993</v>
      </c>
      <c r="C42" s="218" t="s">
        <v>149</v>
      </c>
      <c r="D42" s="142"/>
      <c r="E42" s="187"/>
      <c r="F42" s="270"/>
      <c r="G42" s="207"/>
    </row>
    <row r="43" spans="1:7" x14ac:dyDescent="0.25">
      <c r="A43" s="377"/>
      <c r="B43" s="378"/>
      <c r="C43" s="379"/>
      <c r="D43" s="380"/>
      <c r="E43" s="381"/>
      <c r="F43" s="382"/>
      <c r="G43" s="380"/>
    </row>
    <row r="44" spans="1:7" ht="15" customHeight="1" x14ac:dyDescent="0.25">
      <c r="A44" s="227"/>
      <c r="B44" s="206"/>
      <c r="C44" s="154" t="s">
        <v>172</v>
      </c>
      <c r="D44" s="142"/>
      <c r="E44" s="187"/>
      <c r="F44" s="270"/>
      <c r="G44" s="207"/>
    </row>
    <row r="45" spans="1:7" x14ac:dyDescent="0.25">
      <c r="A45" s="377"/>
      <c r="B45" s="378"/>
      <c r="C45" s="379"/>
      <c r="D45" s="380"/>
      <c r="E45" s="381"/>
      <c r="F45" s="382"/>
      <c r="G45" s="380"/>
    </row>
    <row r="46" spans="1:7" ht="15" customHeight="1" x14ac:dyDescent="0.25">
      <c r="A46" s="227"/>
      <c r="B46" s="273" t="s">
        <v>5</v>
      </c>
      <c r="C46" s="257" t="s">
        <v>157</v>
      </c>
      <c r="D46" s="142"/>
      <c r="E46" s="187"/>
      <c r="F46" s="270"/>
      <c r="G46" s="207"/>
    </row>
    <row r="47" spans="1:7" x14ac:dyDescent="0.25">
      <c r="A47" s="377"/>
      <c r="B47" s="378"/>
      <c r="C47" s="379"/>
      <c r="D47" s="380"/>
      <c r="E47" s="381"/>
      <c r="F47" s="382"/>
      <c r="G47" s="380"/>
    </row>
    <row r="48" spans="1:7" ht="24" x14ac:dyDescent="0.25">
      <c r="A48" s="214" t="s">
        <v>1165</v>
      </c>
      <c r="B48" s="142"/>
      <c r="C48" s="233" t="s">
        <v>1014</v>
      </c>
      <c r="D48" s="142" t="s">
        <v>87</v>
      </c>
      <c r="E48" s="187">
        <f>+ROUND(14.5*105%,1)</f>
        <v>15.2</v>
      </c>
      <c r="F48" s="274"/>
      <c r="G48" s="255"/>
    </row>
    <row r="49" spans="1:7" x14ac:dyDescent="0.25">
      <c r="A49" s="377"/>
      <c r="B49" s="378"/>
      <c r="C49" s="379"/>
      <c r="D49" s="380"/>
      <c r="E49" s="381"/>
      <c r="F49" s="382"/>
      <c r="G49" s="380"/>
    </row>
    <row r="50" spans="1:7" ht="24" x14ac:dyDescent="0.25">
      <c r="A50" s="214" t="s">
        <v>1166</v>
      </c>
      <c r="B50" s="142"/>
      <c r="C50" s="233" t="s">
        <v>1015</v>
      </c>
      <c r="D50" s="142" t="s">
        <v>87</v>
      </c>
      <c r="E50" s="187">
        <f>3.6*2*1.5</f>
        <v>10.8</v>
      </c>
      <c r="F50" s="274"/>
      <c r="G50" s="255"/>
    </row>
    <row r="51" spans="1:7" x14ac:dyDescent="0.25">
      <c r="A51" s="377"/>
      <c r="B51" s="378"/>
      <c r="C51" s="379"/>
      <c r="D51" s="380"/>
      <c r="E51" s="381"/>
      <c r="F51" s="382"/>
      <c r="G51" s="380"/>
    </row>
    <row r="52" spans="1:7" x14ac:dyDescent="0.25">
      <c r="A52" s="227"/>
      <c r="B52" s="273" t="s">
        <v>7</v>
      </c>
      <c r="C52" s="257" t="s">
        <v>150</v>
      </c>
      <c r="D52" s="142"/>
      <c r="E52" s="187"/>
      <c r="F52" s="270"/>
      <c r="G52" s="207"/>
    </row>
    <row r="53" spans="1:7" x14ac:dyDescent="0.25">
      <c r="A53" s="377"/>
      <c r="B53" s="378"/>
      <c r="C53" s="379"/>
      <c r="D53" s="380"/>
      <c r="E53" s="381"/>
      <c r="F53" s="382"/>
      <c r="G53" s="380"/>
    </row>
    <row r="54" spans="1:7" x14ac:dyDescent="0.25">
      <c r="A54" s="227"/>
      <c r="B54" s="142"/>
      <c r="C54" s="275" t="s">
        <v>175</v>
      </c>
      <c r="D54" s="142"/>
      <c r="E54" s="187"/>
      <c r="F54" s="262"/>
      <c r="G54" s="235"/>
    </row>
    <row r="55" spans="1:7" x14ac:dyDescent="0.25">
      <c r="A55" s="377"/>
      <c r="B55" s="378"/>
      <c r="C55" s="379"/>
      <c r="D55" s="380"/>
      <c r="E55" s="381"/>
      <c r="F55" s="382"/>
      <c r="G55" s="380"/>
    </row>
    <row r="56" spans="1:7" ht="15" customHeight="1" x14ac:dyDescent="0.25">
      <c r="A56" s="214" t="s">
        <v>1167</v>
      </c>
      <c r="B56" s="142"/>
      <c r="C56" s="233" t="s">
        <v>534</v>
      </c>
      <c r="D56" s="142" t="s">
        <v>87</v>
      </c>
      <c r="E56" s="187">
        <f>ROUND(115.6*115%,1)</f>
        <v>132.9</v>
      </c>
      <c r="F56" s="262"/>
      <c r="G56" s="255"/>
    </row>
    <row r="57" spans="1:7" x14ac:dyDescent="0.25">
      <c r="A57" s="377"/>
      <c r="B57" s="378"/>
      <c r="C57" s="379"/>
      <c r="D57" s="380"/>
      <c r="E57" s="381"/>
      <c r="F57" s="382"/>
      <c r="G57" s="380"/>
    </row>
    <row r="58" spans="1:7" ht="13.5" x14ac:dyDescent="0.25">
      <c r="A58" s="214" t="s">
        <v>1168</v>
      </c>
      <c r="B58" s="142"/>
      <c r="C58" s="233" t="s">
        <v>399</v>
      </c>
      <c r="D58" s="142" t="s">
        <v>87</v>
      </c>
      <c r="E58" s="187">
        <f>+(4*0.25*2)+(1*0.25*4)</f>
        <v>3</v>
      </c>
      <c r="F58" s="262"/>
      <c r="G58" s="255"/>
    </row>
    <row r="59" spans="1:7" x14ac:dyDescent="0.25">
      <c r="A59" s="377"/>
      <c r="B59" s="378"/>
      <c r="C59" s="379"/>
      <c r="D59" s="380"/>
      <c r="E59" s="381"/>
      <c r="F59" s="382"/>
      <c r="G59" s="380"/>
    </row>
    <row r="60" spans="1:7" ht="13.5" x14ac:dyDescent="0.25">
      <c r="A60" s="214" t="s">
        <v>1169</v>
      </c>
      <c r="B60" s="142"/>
      <c r="C60" s="233" t="s">
        <v>400</v>
      </c>
      <c r="D60" s="142" t="s">
        <v>87</v>
      </c>
      <c r="E60" s="187">
        <f>+ROUND((0.15*1)+(0.15*1.6*3)+(0.15*0.61),1)</f>
        <v>1</v>
      </c>
      <c r="F60" s="262"/>
      <c r="G60" s="255"/>
    </row>
    <row r="61" spans="1:7" x14ac:dyDescent="0.25">
      <c r="A61" s="377"/>
      <c r="B61" s="378"/>
      <c r="C61" s="379"/>
      <c r="D61" s="380"/>
      <c r="E61" s="381"/>
      <c r="F61" s="382"/>
      <c r="G61" s="380"/>
    </row>
    <row r="62" spans="1:7" ht="15" customHeight="1" x14ac:dyDescent="0.25">
      <c r="A62" s="249"/>
      <c r="B62" s="142"/>
      <c r="C62" s="154" t="s">
        <v>176</v>
      </c>
      <c r="D62" s="210"/>
      <c r="E62" s="186"/>
      <c r="F62" s="262"/>
      <c r="G62" s="235"/>
    </row>
    <row r="63" spans="1:7" x14ac:dyDescent="0.25">
      <c r="A63" s="377"/>
      <c r="B63" s="378"/>
      <c r="C63" s="379"/>
      <c r="D63" s="380"/>
      <c r="E63" s="381"/>
      <c r="F63" s="382"/>
      <c r="G63" s="380"/>
    </row>
    <row r="64" spans="1:7" ht="15" customHeight="1" x14ac:dyDescent="0.25">
      <c r="A64" s="249" t="s">
        <v>1170</v>
      </c>
      <c r="B64" s="142"/>
      <c r="C64" s="276" t="s">
        <v>401</v>
      </c>
      <c r="D64" s="210" t="s">
        <v>87</v>
      </c>
      <c r="E64" s="186">
        <f>1*2*2</f>
        <v>4</v>
      </c>
      <c r="F64" s="262"/>
      <c r="G64" s="255"/>
    </row>
    <row r="65" spans="1:7" x14ac:dyDescent="0.25">
      <c r="A65" s="377"/>
      <c r="B65" s="378"/>
      <c r="C65" s="379"/>
      <c r="D65" s="380"/>
      <c r="E65" s="381"/>
      <c r="F65" s="382"/>
      <c r="G65" s="380"/>
    </row>
    <row r="66" spans="1:7" x14ac:dyDescent="0.25">
      <c r="A66" s="249"/>
      <c r="B66" s="142"/>
      <c r="C66" s="277" t="s">
        <v>234</v>
      </c>
      <c r="D66" s="142"/>
      <c r="E66" s="278"/>
      <c r="F66" s="262"/>
      <c r="G66" s="235"/>
    </row>
    <row r="67" spans="1:7" x14ac:dyDescent="0.25">
      <c r="A67" s="377"/>
      <c r="B67" s="378"/>
      <c r="C67" s="379"/>
      <c r="D67" s="380"/>
      <c r="E67" s="381"/>
      <c r="F67" s="382"/>
      <c r="G67" s="380"/>
    </row>
    <row r="68" spans="1:7" ht="13.5" x14ac:dyDescent="0.25">
      <c r="A68" s="249" t="s">
        <v>1171</v>
      </c>
      <c r="B68" s="142"/>
      <c r="C68" s="235" t="s">
        <v>402</v>
      </c>
      <c r="D68" s="210" t="s">
        <v>87</v>
      </c>
      <c r="E68" s="187">
        <f>(2.1*2)+(11.1*2)</f>
        <v>26.4</v>
      </c>
      <c r="F68" s="262"/>
      <c r="G68" s="255"/>
    </row>
    <row r="69" spans="1:7" x14ac:dyDescent="0.25">
      <c r="A69" s="377"/>
      <c r="B69" s="378"/>
      <c r="C69" s="379"/>
      <c r="D69" s="380"/>
      <c r="E69" s="381"/>
      <c r="F69" s="382"/>
      <c r="G69" s="380"/>
    </row>
    <row r="70" spans="1:7" x14ac:dyDescent="0.25">
      <c r="A70" s="249"/>
      <c r="B70" s="273" t="s">
        <v>476</v>
      </c>
      <c r="C70" s="279" t="s">
        <v>403</v>
      </c>
      <c r="D70" s="142"/>
      <c r="E70" s="278"/>
      <c r="F70" s="262"/>
      <c r="G70" s="235"/>
    </row>
    <row r="71" spans="1:7" x14ac:dyDescent="0.25">
      <c r="A71" s="377"/>
      <c r="B71" s="378"/>
      <c r="C71" s="379"/>
      <c r="D71" s="380"/>
      <c r="E71" s="381"/>
      <c r="F71" s="382"/>
      <c r="G71" s="380"/>
    </row>
    <row r="72" spans="1:7" ht="24" x14ac:dyDescent="0.25">
      <c r="A72" s="249" t="s">
        <v>1172</v>
      </c>
      <c r="B72" s="142"/>
      <c r="C72" s="119" t="s">
        <v>405</v>
      </c>
      <c r="D72" s="210" t="s">
        <v>8</v>
      </c>
      <c r="E72" s="219">
        <v>2</v>
      </c>
      <c r="F72" s="274"/>
      <c r="G72" s="255"/>
    </row>
    <row r="73" spans="1:7" x14ac:dyDescent="0.25">
      <c r="A73" s="377"/>
      <c r="B73" s="378"/>
      <c r="C73" s="379"/>
      <c r="D73" s="380"/>
      <c r="E73" s="381"/>
      <c r="F73" s="382"/>
      <c r="G73" s="380"/>
    </row>
    <row r="74" spans="1:7" ht="24" x14ac:dyDescent="0.25">
      <c r="A74" s="249" t="s">
        <v>1173</v>
      </c>
      <c r="B74" s="142"/>
      <c r="C74" s="119" t="s">
        <v>536</v>
      </c>
      <c r="D74" s="210" t="s">
        <v>8</v>
      </c>
      <c r="E74" s="219">
        <v>10</v>
      </c>
      <c r="F74" s="274"/>
      <c r="G74" s="255"/>
    </row>
    <row r="75" spans="1:7" x14ac:dyDescent="0.25">
      <c r="A75" s="377"/>
      <c r="B75" s="378"/>
      <c r="C75" s="379"/>
      <c r="D75" s="380"/>
      <c r="E75" s="381"/>
      <c r="F75" s="382"/>
      <c r="G75" s="380"/>
    </row>
    <row r="76" spans="1:7" ht="24" x14ac:dyDescent="0.25">
      <c r="A76" s="249" t="s">
        <v>1174</v>
      </c>
      <c r="B76" s="142"/>
      <c r="C76" s="233" t="s">
        <v>404</v>
      </c>
      <c r="D76" s="210" t="s">
        <v>8</v>
      </c>
      <c r="E76" s="219">
        <v>1</v>
      </c>
      <c r="F76" s="274"/>
      <c r="G76" s="255"/>
    </row>
    <row r="77" spans="1:7" x14ac:dyDescent="0.25">
      <c r="A77" s="377"/>
      <c r="B77" s="378"/>
      <c r="C77" s="379"/>
      <c r="D77" s="380"/>
      <c r="E77" s="381"/>
      <c r="F77" s="382"/>
      <c r="G77" s="380"/>
    </row>
    <row r="78" spans="1:7" ht="34.9" customHeight="1" x14ac:dyDescent="0.25">
      <c r="A78" s="214" t="s">
        <v>1176</v>
      </c>
      <c r="B78" s="221"/>
      <c r="C78" s="135" t="s">
        <v>535</v>
      </c>
      <c r="D78" s="210" t="s">
        <v>8</v>
      </c>
      <c r="E78" s="211">
        <v>6</v>
      </c>
      <c r="F78" s="280"/>
      <c r="G78" s="255"/>
    </row>
    <row r="79" spans="1:7" x14ac:dyDescent="0.25">
      <c r="A79" s="377"/>
      <c r="B79" s="378"/>
      <c r="C79" s="379"/>
      <c r="D79" s="380"/>
      <c r="E79" s="381"/>
      <c r="F79" s="382"/>
      <c r="G79" s="380"/>
    </row>
    <row r="80" spans="1:7" x14ac:dyDescent="0.25">
      <c r="A80" s="181"/>
      <c r="B80" s="152"/>
      <c r="C80" s="457"/>
      <c r="D80" s="5"/>
      <c r="E80" s="58"/>
      <c r="F80" s="78"/>
      <c r="G80" s="5"/>
    </row>
    <row r="81" spans="1:7" ht="28.5" customHeight="1" x14ac:dyDescent="0.25">
      <c r="A81" s="538" t="s">
        <v>609</v>
      </c>
      <c r="B81" s="538"/>
      <c r="C81" s="538"/>
      <c r="D81" s="538"/>
      <c r="E81" s="538"/>
      <c r="F81" s="538"/>
      <c r="G81" s="158"/>
    </row>
    <row r="82" spans="1:7" ht="28.5" customHeight="1" x14ac:dyDescent="0.25">
      <c r="A82" s="538" t="s">
        <v>610</v>
      </c>
      <c r="B82" s="538"/>
      <c r="C82" s="538"/>
      <c r="D82" s="538"/>
      <c r="E82" s="538"/>
      <c r="F82" s="538"/>
      <c r="G82" s="158"/>
    </row>
    <row r="83" spans="1:7" x14ac:dyDescent="0.25">
      <c r="A83" s="383"/>
      <c r="B83" s="162"/>
      <c r="C83" s="384"/>
      <c r="D83" s="385"/>
      <c r="E83" s="386"/>
      <c r="F83" s="387"/>
      <c r="G83" s="388"/>
    </row>
    <row r="84" spans="1:7" ht="24" x14ac:dyDescent="0.25">
      <c r="A84" s="214" t="s">
        <v>1177</v>
      </c>
      <c r="B84" s="142" t="s">
        <v>2149</v>
      </c>
      <c r="C84" s="119" t="s">
        <v>1016</v>
      </c>
      <c r="D84" s="210" t="s">
        <v>8</v>
      </c>
      <c r="E84" s="211">
        <v>4</v>
      </c>
      <c r="F84" s="280"/>
      <c r="G84" s="255"/>
    </row>
    <row r="85" spans="1:7" ht="12" customHeight="1" x14ac:dyDescent="0.25">
      <c r="A85" s="383"/>
      <c r="B85" s="162"/>
      <c r="C85" s="384"/>
      <c r="D85" s="385"/>
      <c r="E85" s="386"/>
      <c r="F85" s="387"/>
      <c r="G85" s="388"/>
    </row>
    <row r="86" spans="1:7" ht="12" customHeight="1" x14ac:dyDescent="0.25">
      <c r="A86" s="214"/>
      <c r="B86" s="207">
        <v>8.3000000000000007</v>
      </c>
      <c r="C86" s="38" t="s">
        <v>151</v>
      </c>
      <c r="D86" s="210"/>
      <c r="E86" s="219"/>
      <c r="F86" s="274"/>
      <c r="G86" s="233"/>
    </row>
    <row r="87" spans="1:7" ht="12" customHeight="1" x14ac:dyDescent="0.25">
      <c r="A87" s="383"/>
      <c r="B87" s="162"/>
      <c r="C87" s="384"/>
      <c r="D87" s="385"/>
      <c r="E87" s="386"/>
      <c r="F87" s="387"/>
      <c r="G87" s="388"/>
    </row>
    <row r="88" spans="1:7" ht="12" customHeight="1" x14ac:dyDescent="0.25">
      <c r="A88" s="214"/>
      <c r="B88" s="210"/>
      <c r="C88" s="258" t="s">
        <v>406</v>
      </c>
      <c r="D88" s="210"/>
      <c r="E88" s="219"/>
      <c r="F88" s="274"/>
      <c r="G88" s="233"/>
    </row>
    <row r="89" spans="1:7" ht="12" customHeight="1" x14ac:dyDescent="0.25">
      <c r="A89" s="383"/>
      <c r="B89" s="162"/>
      <c r="C89" s="384"/>
      <c r="D89" s="385"/>
      <c r="E89" s="386"/>
      <c r="F89" s="387"/>
      <c r="G89" s="388"/>
    </row>
    <row r="90" spans="1:7" ht="12" customHeight="1" x14ac:dyDescent="0.25">
      <c r="A90" s="214" t="s">
        <v>1178</v>
      </c>
      <c r="B90" s="210" t="s">
        <v>26</v>
      </c>
      <c r="C90" s="119" t="s">
        <v>177</v>
      </c>
      <c r="D90" s="210" t="s">
        <v>92</v>
      </c>
      <c r="E90" s="219">
        <f>+ROUND(SUM(E102)*0.18,1)</f>
        <v>7.6</v>
      </c>
      <c r="F90" s="274"/>
      <c r="G90" s="255"/>
    </row>
    <row r="91" spans="1:7" ht="12" customHeight="1" x14ac:dyDescent="0.25">
      <c r="A91" s="383"/>
      <c r="B91" s="162"/>
      <c r="C91" s="384"/>
      <c r="D91" s="385"/>
      <c r="E91" s="386"/>
      <c r="F91" s="387"/>
      <c r="G91" s="388"/>
    </row>
    <row r="92" spans="1:7" ht="12" customHeight="1" x14ac:dyDescent="0.25">
      <c r="A92" s="214"/>
      <c r="B92" s="207">
        <v>8.4</v>
      </c>
      <c r="C92" s="38" t="s">
        <v>152</v>
      </c>
      <c r="D92" s="210"/>
      <c r="E92" s="219"/>
      <c r="F92" s="274"/>
      <c r="G92" s="233"/>
    </row>
    <row r="93" spans="1:7" ht="12" customHeight="1" x14ac:dyDescent="0.25">
      <c r="A93" s="383"/>
      <c r="B93" s="162"/>
      <c r="C93" s="384"/>
      <c r="D93" s="385"/>
      <c r="E93" s="386"/>
      <c r="F93" s="387"/>
      <c r="G93" s="388"/>
    </row>
    <row r="94" spans="1:7" ht="12" customHeight="1" x14ac:dyDescent="0.25">
      <c r="A94" s="214"/>
      <c r="B94" s="210"/>
      <c r="C94" s="258" t="s">
        <v>407</v>
      </c>
      <c r="D94" s="210"/>
      <c r="E94" s="219"/>
      <c r="F94" s="274"/>
      <c r="G94" s="281"/>
    </row>
    <row r="95" spans="1:7" ht="12" customHeight="1" x14ac:dyDescent="0.25">
      <c r="A95" s="383"/>
      <c r="B95" s="162"/>
      <c r="C95" s="384"/>
      <c r="D95" s="385"/>
      <c r="E95" s="386"/>
      <c r="F95" s="387"/>
      <c r="G95" s="388"/>
    </row>
    <row r="96" spans="1:7" ht="12" customHeight="1" x14ac:dyDescent="0.25">
      <c r="A96" s="214"/>
      <c r="B96" s="221" t="s">
        <v>94</v>
      </c>
      <c r="C96" s="212" t="s">
        <v>178</v>
      </c>
      <c r="D96" s="210"/>
      <c r="E96" s="219"/>
      <c r="F96" s="274"/>
      <c r="G96" s="281"/>
    </row>
    <row r="97" spans="1:7" ht="12" customHeight="1" x14ac:dyDescent="0.25">
      <c r="A97" s="383"/>
      <c r="B97" s="162"/>
      <c r="C97" s="384"/>
      <c r="D97" s="385"/>
      <c r="E97" s="386"/>
      <c r="F97" s="387"/>
      <c r="G97" s="388"/>
    </row>
    <row r="98" spans="1:7" ht="24" x14ac:dyDescent="0.25">
      <c r="A98" s="214" t="s">
        <v>1179</v>
      </c>
      <c r="B98" s="210"/>
      <c r="C98" s="119" t="s">
        <v>437</v>
      </c>
      <c r="D98" s="142" t="s">
        <v>88</v>
      </c>
      <c r="E98" s="219">
        <f>+ROUND(3.8*115%,1)</f>
        <v>4.4000000000000004</v>
      </c>
      <c r="F98" s="274"/>
      <c r="G98" s="255"/>
    </row>
    <row r="99" spans="1:7" ht="12" customHeight="1" x14ac:dyDescent="0.25">
      <c r="A99" s="383"/>
      <c r="B99" s="162"/>
      <c r="C99" s="384"/>
      <c r="D99" s="385"/>
      <c r="E99" s="386"/>
      <c r="F99" s="387"/>
      <c r="G99" s="388"/>
    </row>
    <row r="100" spans="1:7" ht="24" x14ac:dyDescent="0.25">
      <c r="A100" s="214" t="s">
        <v>1180</v>
      </c>
      <c r="B100" s="210"/>
      <c r="C100" s="119" t="s">
        <v>408</v>
      </c>
      <c r="D100" s="142" t="s">
        <v>88</v>
      </c>
      <c r="E100" s="219">
        <f>+ROUND(4.1*2*110%,1)</f>
        <v>9</v>
      </c>
      <c r="F100" s="274"/>
      <c r="G100" s="255"/>
    </row>
    <row r="101" spans="1:7" ht="12" customHeight="1" x14ac:dyDescent="0.25">
      <c r="A101" s="383"/>
      <c r="B101" s="162"/>
      <c r="C101" s="384"/>
      <c r="D101" s="385"/>
      <c r="E101" s="386"/>
      <c r="F101" s="387"/>
      <c r="G101" s="388"/>
    </row>
    <row r="102" spans="1:7" ht="36" x14ac:dyDescent="0.25">
      <c r="A102" s="214" t="s">
        <v>1181</v>
      </c>
      <c r="B102" s="221"/>
      <c r="C102" s="119" t="s">
        <v>2150</v>
      </c>
      <c r="D102" s="142" t="s">
        <v>88</v>
      </c>
      <c r="E102" s="219">
        <f>+ROUND(38.3*110%,1)</f>
        <v>42.1</v>
      </c>
      <c r="F102" s="274"/>
      <c r="G102" s="255"/>
    </row>
    <row r="103" spans="1:7" ht="12" customHeight="1" x14ac:dyDescent="0.25">
      <c r="A103" s="383"/>
      <c r="B103" s="162"/>
      <c r="C103" s="384"/>
      <c r="D103" s="385"/>
      <c r="E103" s="386"/>
      <c r="F103" s="387"/>
      <c r="G103" s="388"/>
    </row>
    <row r="104" spans="1:7" ht="12" customHeight="1" x14ac:dyDescent="0.25">
      <c r="A104" s="214"/>
      <c r="B104" s="221" t="s">
        <v>58</v>
      </c>
      <c r="C104" s="212" t="s">
        <v>158</v>
      </c>
      <c r="D104" s="210"/>
      <c r="E104" s="219"/>
      <c r="F104" s="274"/>
      <c r="G104" s="281"/>
    </row>
    <row r="105" spans="1:7" ht="12" customHeight="1" x14ac:dyDescent="0.25">
      <c r="A105" s="383"/>
      <c r="B105" s="162"/>
      <c r="C105" s="384"/>
      <c r="D105" s="385"/>
      <c r="E105" s="386"/>
      <c r="F105" s="387"/>
      <c r="G105" s="388"/>
    </row>
    <row r="106" spans="1:7" ht="24" x14ac:dyDescent="0.25">
      <c r="A106" s="214" t="s">
        <v>1182</v>
      </c>
      <c r="B106" s="210"/>
      <c r="C106" s="119" t="s">
        <v>424</v>
      </c>
      <c r="D106" s="210" t="s">
        <v>87</v>
      </c>
      <c r="E106" s="219">
        <f>+ROUND(21.5+(2*2),1)</f>
        <v>25.5</v>
      </c>
      <c r="F106" s="274"/>
      <c r="G106" s="255"/>
    </row>
    <row r="107" spans="1:7" ht="12" customHeight="1" x14ac:dyDescent="0.25">
      <c r="A107" s="383"/>
      <c r="B107" s="162"/>
      <c r="C107" s="384"/>
      <c r="D107" s="385"/>
      <c r="E107" s="386"/>
      <c r="F107" s="387"/>
      <c r="G107" s="388"/>
    </row>
    <row r="108" spans="1:7" ht="13.5" x14ac:dyDescent="0.25">
      <c r="A108" s="249" t="s">
        <v>1183</v>
      </c>
      <c r="B108" s="142"/>
      <c r="C108" s="220" t="s">
        <v>425</v>
      </c>
      <c r="D108" s="142" t="s">
        <v>87</v>
      </c>
      <c r="E108" s="187">
        <v>36.5</v>
      </c>
      <c r="F108" s="262"/>
      <c r="G108" s="452"/>
    </row>
    <row r="109" spans="1:7" ht="12" customHeight="1" x14ac:dyDescent="0.25">
      <c r="A109" s="383"/>
      <c r="B109" s="162"/>
      <c r="C109" s="384"/>
      <c r="D109" s="385"/>
      <c r="E109" s="386"/>
      <c r="F109" s="387"/>
      <c r="G109" s="388"/>
    </row>
    <row r="110" spans="1:7" ht="12" customHeight="1" x14ac:dyDescent="0.25">
      <c r="A110" s="214"/>
      <c r="B110" s="207">
        <v>8.5</v>
      </c>
      <c r="C110" s="271" t="s">
        <v>409</v>
      </c>
      <c r="D110" s="210"/>
      <c r="E110" s="219"/>
      <c r="F110" s="274"/>
      <c r="G110" s="281"/>
    </row>
    <row r="111" spans="1:7" ht="12" customHeight="1" x14ac:dyDescent="0.25">
      <c r="A111" s="383"/>
      <c r="B111" s="162"/>
      <c r="C111" s="384"/>
      <c r="D111" s="385"/>
      <c r="E111" s="386"/>
      <c r="F111" s="387"/>
      <c r="G111" s="388"/>
    </row>
    <row r="112" spans="1:7" ht="24" x14ac:dyDescent="0.25">
      <c r="A112" s="214"/>
      <c r="B112" s="210"/>
      <c r="C112" s="212" t="s">
        <v>2120</v>
      </c>
      <c r="D112" s="210"/>
      <c r="E112" s="219"/>
      <c r="F112" s="274"/>
      <c r="G112" s="281"/>
    </row>
    <row r="113" spans="1:7" ht="12" customHeight="1" x14ac:dyDescent="0.25">
      <c r="A113" s="383"/>
      <c r="B113" s="162"/>
      <c r="C113" s="384"/>
      <c r="D113" s="385"/>
      <c r="E113" s="386"/>
      <c r="F113" s="387"/>
      <c r="G113" s="388"/>
    </row>
    <row r="114" spans="1:7" ht="48" x14ac:dyDescent="0.25">
      <c r="A114" s="214" t="s">
        <v>1184</v>
      </c>
      <c r="B114" s="210"/>
      <c r="C114" s="119" t="s">
        <v>1017</v>
      </c>
      <c r="D114" s="210" t="s">
        <v>6</v>
      </c>
      <c r="E114" s="219">
        <f>+ROUND(82.3*105%,1)-E132</f>
        <v>79.300000000000011</v>
      </c>
      <c r="F114" s="274"/>
      <c r="G114" s="255"/>
    </row>
    <row r="115" spans="1:7" x14ac:dyDescent="0.25">
      <c r="A115" s="383"/>
      <c r="B115" s="162"/>
      <c r="C115" s="384"/>
      <c r="D115" s="385"/>
      <c r="E115" s="386"/>
      <c r="F115" s="387"/>
      <c r="G115" s="388"/>
    </row>
    <row r="116" spans="1:7" x14ac:dyDescent="0.25">
      <c r="A116" s="214"/>
      <c r="B116" s="210"/>
      <c r="C116" s="119"/>
      <c r="D116" s="210"/>
      <c r="E116" s="219"/>
      <c r="F116" s="274"/>
      <c r="G116" s="255"/>
    </row>
    <row r="117" spans="1:7" ht="12" customHeight="1" x14ac:dyDescent="0.25">
      <c r="A117" s="383"/>
      <c r="B117" s="162"/>
      <c r="C117" s="384"/>
      <c r="D117" s="385"/>
      <c r="E117" s="386"/>
      <c r="F117" s="387"/>
      <c r="G117" s="388"/>
    </row>
    <row r="118" spans="1:7" x14ac:dyDescent="0.25">
      <c r="A118" s="214"/>
      <c r="B118" s="210"/>
      <c r="C118" s="141"/>
      <c r="D118" s="249"/>
      <c r="E118" s="141"/>
      <c r="F118" s="249"/>
      <c r="G118" s="203"/>
    </row>
    <row r="119" spans="1:7" ht="12" customHeight="1" x14ac:dyDescent="0.25">
      <c r="A119" s="383"/>
      <c r="B119" s="162"/>
      <c r="C119" s="384"/>
      <c r="D119" s="385"/>
      <c r="E119" s="386"/>
      <c r="F119" s="387"/>
      <c r="G119" s="388"/>
    </row>
    <row r="120" spans="1:7" x14ac:dyDescent="0.25">
      <c r="A120" s="214"/>
      <c r="B120" s="210"/>
      <c r="C120" s="141"/>
      <c r="D120" s="249"/>
      <c r="E120" s="141"/>
      <c r="F120" s="249"/>
      <c r="G120" s="203"/>
    </row>
    <row r="121" spans="1:7" x14ac:dyDescent="0.25">
      <c r="A121" s="383"/>
      <c r="B121" s="162"/>
      <c r="C121" s="384"/>
      <c r="D121" s="385"/>
      <c r="E121" s="386"/>
      <c r="F121" s="387"/>
      <c r="G121" s="388"/>
    </row>
    <row r="122" spans="1:7" x14ac:dyDescent="0.25">
      <c r="A122" s="214"/>
      <c r="B122" s="210"/>
      <c r="C122" s="141"/>
      <c r="D122" s="249"/>
      <c r="E122" s="141"/>
      <c r="F122" s="249"/>
      <c r="G122" s="203"/>
    </row>
    <row r="123" spans="1:7" x14ac:dyDescent="0.25">
      <c r="A123" s="383"/>
      <c r="B123" s="162"/>
      <c r="C123" s="384"/>
      <c r="D123" s="385"/>
      <c r="E123" s="386"/>
      <c r="F123" s="387"/>
      <c r="G123" s="388"/>
    </row>
    <row r="124" spans="1:7" x14ac:dyDescent="0.25">
      <c r="A124" s="34"/>
      <c r="B124" s="121"/>
      <c r="C124" s="113"/>
      <c r="D124" s="112"/>
      <c r="E124" s="69"/>
      <c r="F124" s="146"/>
      <c r="G124" s="145"/>
    </row>
    <row r="125" spans="1:7" ht="28.5" customHeight="1" x14ac:dyDescent="0.25">
      <c r="A125" s="538" t="s">
        <v>609</v>
      </c>
      <c r="B125" s="538"/>
      <c r="C125" s="538"/>
      <c r="D125" s="538"/>
      <c r="E125" s="538"/>
      <c r="F125" s="538"/>
      <c r="G125" s="158"/>
    </row>
    <row r="126" spans="1:7" ht="28.5" customHeight="1" x14ac:dyDescent="0.25">
      <c r="A126" s="538" t="s">
        <v>610</v>
      </c>
      <c r="B126" s="538"/>
      <c r="C126" s="538"/>
      <c r="D126" s="538"/>
      <c r="E126" s="538"/>
      <c r="F126" s="538"/>
      <c r="G126" s="158"/>
    </row>
    <row r="127" spans="1:7" x14ac:dyDescent="0.25">
      <c r="A127" s="383"/>
      <c r="B127" s="162"/>
      <c r="C127" s="384"/>
      <c r="D127" s="385"/>
      <c r="E127" s="386"/>
      <c r="F127" s="387"/>
      <c r="G127" s="388"/>
    </row>
    <row r="128" spans="1:7" ht="24" x14ac:dyDescent="0.25">
      <c r="A128" s="214"/>
      <c r="B128" s="210"/>
      <c r="C128" s="212" t="s">
        <v>2121</v>
      </c>
      <c r="D128" s="210"/>
      <c r="E128" s="219"/>
      <c r="F128" s="274"/>
      <c r="G128" s="281"/>
    </row>
    <row r="129" spans="1:7" x14ac:dyDescent="0.25">
      <c r="A129" s="383"/>
      <c r="B129" s="162"/>
      <c r="C129" s="384"/>
      <c r="D129" s="385"/>
      <c r="E129" s="386"/>
      <c r="F129" s="387"/>
      <c r="G129" s="388"/>
    </row>
    <row r="130" spans="1:7" ht="24" x14ac:dyDescent="0.25">
      <c r="A130" s="214" t="s">
        <v>1185</v>
      </c>
      <c r="B130" s="210"/>
      <c r="C130" s="119" t="s">
        <v>411</v>
      </c>
      <c r="D130" s="210" t="s">
        <v>6</v>
      </c>
      <c r="E130" s="219">
        <f>E132</f>
        <v>7.1</v>
      </c>
      <c r="F130" s="274"/>
      <c r="G130" s="255"/>
    </row>
    <row r="131" spans="1:7" x14ac:dyDescent="0.25">
      <c r="A131" s="383"/>
      <c r="B131" s="162"/>
      <c r="C131" s="384"/>
      <c r="D131" s="385"/>
      <c r="E131" s="386"/>
      <c r="F131" s="387"/>
      <c r="G131" s="388"/>
    </row>
    <row r="132" spans="1:7" ht="36" x14ac:dyDescent="0.25">
      <c r="A132" s="214" t="s">
        <v>1186</v>
      </c>
      <c r="B132" s="210"/>
      <c r="C132" s="119" t="s">
        <v>410</v>
      </c>
      <c r="D132" s="210" t="s">
        <v>6</v>
      </c>
      <c r="E132" s="219">
        <f>+ROUND((1.25+1.55+1.55+1.55+0.86)*105%,1)</f>
        <v>7.1</v>
      </c>
      <c r="F132" s="274"/>
      <c r="G132" s="255"/>
    </row>
    <row r="133" spans="1:7" x14ac:dyDescent="0.25">
      <c r="A133" s="383"/>
      <c r="B133" s="162"/>
      <c r="C133" s="384"/>
      <c r="D133" s="385"/>
      <c r="E133" s="386"/>
      <c r="F133" s="387"/>
      <c r="G133" s="388"/>
    </row>
    <row r="134" spans="1:7" ht="24" x14ac:dyDescent="0.25">
      <c r="A134" s="214"/>
      <c r="B134" s="207">
        <v>8.6999999999999993</v>
      </c>
      <c r="C134" s="38" t="s">
        <v>777</v>
      </c>
      <c r="D134" s="210"/>
      <c r="E134" s="219"/>
      <c r="F134" s="274"/>
      <c r="G134" s="255"/>
    </row>
    <row r="135" spans="1:7" x14ac:dyDescent="0.25">
      <c r="A135" s="383"/>
      <c r="B135" s="162"/>
      <c r="C135" s="384"/>
      <c r="D135" s="385"/>
      <c r="E135" s="386"/>
      <c r="F135" s="387"/>
      <c r="G135" s="388"/>
    </row>
    <row r="136" spans="1:7" x14ac:dyDescent="0.25">
      <c r="A136" s="214" t="s">
        <v>1187</v>
      </c>
      <c r="B136" s="207"/>
      <c r="C136" s="119" t="s">
        <v>778</v>
      </c>
      <c r="D136" s="210" t="s">
        <v>8</v>
      </c>
      <c r="E136" s="219">
        <f>E78</f>
        <v>6</v>
      </c>
      <c r="F136" s="274"/>
      <c r="G136" s="255"/>
    </row>
    <row r="137" spans="1:7" x14ac:dyDescent="0.25">
      <c r="A137" s="383"/>
      <c r="B137" s="162"/>
      <c r="C137" s="384"/>
      <c r="D137" s="385"/>
      <c r="E137" s="386"/>
      <c r="F137" s="387"/>
      <c r="G137" s="388"/>
    </row>
    <row r="138" spans="1:7" x14ac:dyDescent="0.25">
      <c r="A138" s="214" t="s">
        <v>1188</v>
      </c>
      <c r="B138" s="210"/>
      <c r="C138" s="119" t="s">
        <v>779</v>
      </c>
      <c r="D138" s="210" t="s">
        <v>8</v>
      </c>
      <c r="E138" s="219">
        <f>E74</f>
        <v>10</v>
      </c>
      <c r="F138" s="274"/>
      <c r="G138" s="255"/>
    </row>
    <row r="139" spans="1:7" x14ac:dyDescent="0.25">
      <c r="A139" s="383"/>
      <c r="B139" s="162"/>
      <c r="C139" s="384"/>
      <c r="D139" s="385"/>
      <c r="E139" s="386"/>
      <c r="F139" s="387"/>
      <c r="G139" s="388"/>
    </row>
    <row r="140" spans="1:7" ht="24" x14ac:dyDescent="0.25">
      <c r="A140" s="227" t="s">
        <v>1189</v>
      </c>
      <c r="B140" s="207" t="s">
        <v>3</v>
      </c>
      <c r="C140" s="38" t="s">
        <v>4</v>
      </c>
      <c r="D140" s="210"/>
      <c r="E140" s="219"/>
      <c r="F140" s="274"/>
      <c r="G140" s="281"/>
    </row>
    <row r="141" spans="1:7" ht="12" customHeight="1" x14ac:dyDescent="0.25">
      <c r="A141" s="383"/>
      <c r="B141" s="162"/>
      <c r="C141" s="384"/>
      <c r="D141" s="385"/>
      <c r="E141" s="386"/>
      <c r="F141" s="387"/>
      <c r="G141" s="388"/>
    </row>
    <row r="142" spans="1:7" ht="24" x14ac:dyDescent="0.25">
      <c r="A142" s="250"/>
      <c r="B142" s="221" t="s">
        <v>13</v>
      </c>
      <c r="C142" s="212" t="s">
        <v>412</v>
      </c>
      <c r="D142" s="210"/>
      <c r="E142" s="219"/>
      <c r="F142" s="274"/>
      <c r="G142" s="281"/>
    </row>
    <row r="143" spans="1:7" ht="12" customHeight="1" x14ac:dyDescent="0.25">
      <c r="A143" s="383"/>
      <c r="B143" s="162"/>
      <c r="C143" s="384"/>
      <c r="D143" s="385"/>
      <c r="E143" s="386"/>
      <c r="F143" s="387"/>
      <c r="G143" s="388"/>
    </row>
    <row r="144" spans="1:7" ht="12" customHeight="1" x14ac:dyDescent="0.25">
      <c r="A144" s="214"/>
      <c r="B144" s="210"/>
      <c r="C144" s="220" t="s">
        <v>413</v>
      </c>
      <c r="D144" s="210"/>
      <c r="E144" s="219"/>
      <c r="F144" s="274"/>
      <c r="G144" s="281"/>
    </row>
    <row r="145" spans="1:7" ht="12" customHeight="1" x14ac:dyDescent="0.25">
      <c r="A145" s="383"/>
      <c r="B145" s="162"/>
      <c r="C145" s="384"/>
      <c r="D145" s="385"/>
      <c r="E145" s="386"/>
      <c r="F145" s="387"/>
      <c r="G145" s="388"/>
    </row>
    <row r="146" spans="1:7" ht="26.25" customHeight="1" x14ac:dyDescent="0.25">
      <c r="A146" s="214"/>
      <c r="B146" s="210"/>
      <c r="C146" s="119" t="s">
        <v>454</v>
      </c>
      <c r="D146" s="210"/>
      <c r="E146" s="219"/>
      <c r="F146" s="274"/>
      <c r="G146" s="281"/>
    </row>
    <row r="147" spans="1:7" ht="12" customHeight="1" x14ac:dyDescent="0.25">
      <c r="A147" s="383"/>
      <c r="B147" s="162"/>
      <c r="C147" s="384"/>
      <c r="D147" s="385"/>
      <c r="E147" s="386"/>
      <c r="F147" s="387"/>
      <c r="G147" s="388"/>
    </row>
    <row r="148" spans="1:7" ht="24" x14ac:dyDescent="0.25">
      <c r="A148" s="214"/>
      <c r="B148" s="210"/>
      <c r="C148" s="119" t="s">
        <v>823</v>
      </c>
      <c r="D148" s="210"/>
      <c r="E148" s="219"/>
      <c r="F148" s="274"/>
      <c r="G148" s="281"/>
    </row>
    <row r="149" spans="1:7" ht="12" customHeight="1" x14ac:dyDescent="0.25">
      <c r="A149" s="383"/>
      <c r="B149" s="162"/>
      <c r="C149" s="384"/>
      <c r="D149" s="385"/>
      <c r="E149" s="386"/>
      <c r="F149" s="387"/>
      <c r="G149" s="388"/>
    </row>
    <row r="150" spans="1:7" x14ac:dyDescent="0.25">
      <c r="A150" s="214"/>
      <c r="B150" s="210"/>
      <c r="C150" s="220" t="s">
        <v>414</v>
      </c>
      <c r="D150" s="210"/>
      <c r="E150" s="219"/>
      <c r="F150" s="274"/>
      <c r="G150" s="281"/>
    </row>
    <row r="151" spans="1:7" ht="12" customHeight="1" x14ac:dyDescent="0.25">
      <c r="A151" s="383"/>
      <c r="B151" s="162"/>
      <c r="C151" s="384"/>
      <c r="D151" s="385"/>
      <c r="E151" s="386"/>
      <c r="F151" s="387"/>
      <c r="G151" s="388"/>
    </row>
    <row r="152" spans="1:7" ht="39" customHeight="1" x14ac:dyDescent="0.25">
      <c r="A152" s="214"/>
      <c r="B152" s="210"/>
      <c r="C152" s="119" t="s">
        <v>895</v>
      </c>
      <c r="D152" s="210"/>
      <c r="E152" s="219"/>
      <c r="F152" s="274"/>
      <c r="G152" s="281"/>
    </row>
    <row r="153" spans="1:7" ht="12" customHeight="1" x14ac:dyDescent="0.25">
      <c r="A153" s="383"/>
      <c r="B153" s="162"/>
      <c r="C153" s="384"/>
      <c r="D153" s="385"/>
      <c r="E153" s="386"/>
      <c r="F153" s="387"/>
      <c r="G153" s="388"/>
    </row>
    <row r="154" spans="1:7" x14ac:dyDescent="0.25">
      <c r="A154" s="214" t="s">
        <v>1190</v>
      </c>
      <c r="B154" s="210"/>
      <c r="C154" s="220" t="s">
        <v>415</v>
      </c>
      <c r="D154" s="210" t="s">
        <v>8</v>
      </c>
      <c r="E154" s="211">
        <v>1</v>
      </c>
      <c r="F154" s="280"/>
      <c r="G154" s="255"/>
    </row>
    <row r="155" spans="1:7" ht="12" customHeight="1" x14ac:dyDescent="0.25">
      <c r="A155" s="383"/>
      <c r="B155" s="162"/>
      <c r="C155" s="384"/>
      <c r="D155" s="385"/>
      <c r="E155" s="386"/>
      <c r="F155" s="387"/>
      <c r="G155" s="388"/>
    </row>
    <row r="156" spans="1:7" ht="27" customHeight="1" x14ac:dyDescent="0.25">
      <c r="A156" s="214" t="s">
        <v>1191</v>
      </c>
      <c r="B156" s="210"/>
      <c r="C156" s="119" t="s">
        <v>417</v>
      </c>
      <c r="D156" s="210" t="s">
        <v>8</v>
      </c>
      <c r="E156" s="211">
        <v>1</v>
      </c>
      <c r="F156" s="280"/>
      <c r="G156" s="255"/>
    </row>
    <row r="157" spans="1:7" ht="12" customHeight="1" x14ac:dyDescent="0.25">
      <c r="A157" s="383"/>
      <c r="B157" s="162"/>
      <c r="C157" s="384"/>
      <c r="D157" s="385"/>
      <c r="E157" s="386"/>
      <c r="F157" s="387"/>
      <c r="G157" s="388"/>
    </row>
    <row r="158" spans="1:7" ht="36" x14ac:dyDescent="0.25">
      <c r="A158" s="214" t="s">
        <v>1192</v>
      </c>
      <c r="B158" s="210"/>
      <c r="C158" s="119" t="s">
        <v>416</v>
      </c>
      <c r="D158" s="210" t="s">
        <v>8</v>
      </c>
      <c r="E158" s="211">
        <v>4</v>
      </c>
      <c r="F158" s="280"/>
      <c r="G158" s="255"/>
    </row>
    <row r="159" spans="1:7" ht="12" customHeight="1" x14ac:dyDescent="0.25">
      <c r="A159" s="383"/>
      <c r="B159" s="162"/>
      <c r="C159" s="384"/>
      <c r="D159" s="385"/>
      <c r="E159" s="386"/>
      <c r="F159" s="387"/>
      <c r="G159" s="388"/>
    </row>
    <row r="160" spans="1:7" ht="24" x14ac:dyDescent="0.25">
      <c r="A160" s="214" t="s">
        <v>1193</v>
      </c>
      <c r="B160" s="210"/>
      <c r="C160" s="119" t="s">
        <v>418</v>
      </c>
      <c r="D160" s="210" t="s">
        <v>8</v>
      </c>
      <c r="E160" s="219">
        <v>1</v>
      </c>
      <c r="F160" s="282"/>
      <c r="G160" s="255"/>
    </row>
    <row r="161" spans="1:7" x14ac:dyDescent="0.25">
      <c r="A161" s="383"/>
      <c r="B161" s="162"/>
      <c r="C161" s="384"/>
      <c r="D161" s="385"/>
      <c r="E161" s="386"/>
      <c r="F161" s="387"/>
      <c r="G161" s="388"/>
    </row>
    <row r="162" spans="1:7" x14ac:dyDescent="0.25">
      <c r="A162" s="118"/>
      <c r="B162" s="112"/>
      <c r="C162" s="113"/>
      <c r="D162" s="112"/>
      <c r="E162" s="69"/>
      <c r="F162" s="146"/>
      <c r="G162" s="145"/>
    </row>
    <row r="163" spans="1:7" ht="28.5" customHeight="1" x14ac:dyDescent="0.25">
      <c r="A163" s="538" t="s">
        <v>609</v>
      </c>
      <c r="B163" s="538"/>
      <c r="C163" s="538"/>
      <c r="D163" s="538"/>
      <c r="E163" s="538"/>
      <c r="F163" s="538"/>
      <c r="G163" s="158"/>
    </row>
    <row r="164" spans="1:7" ht="28.5" customHeight="1" x14ac:dyDescent="0.25">
      <c r="A164" s="538" t="s">
        <v>610</v>
      </c>
      <c r="B164" s="538"/>
      <c r="C164" s="538"/>
      <c r="D164" s="538"/>
      <c r="E164" s="538"/>
      <c r="F164" s="538"/>
      <c r="G164" s="158"/>
    </row>
    <row r="165" spans="1:7" x14ac:dyDescent="0.25">
      <c r="A165" s="383"/>
      <c r="B165" s="162"/>
      <c r="C165" s="384"/>
      <c r="D165" s="385"/>
      <c r="E165" s="386"/>
      <c r="F165" s="387"/>
      <c r="G165" s="388"/>
    </row>
    <row r="166" spans="1:7" ht="27.75" customHeight="1" x14ac:dyDescent="0.25">
      <c r="A166" s="214" t="s">
        <v>1194</v>
      </c>
      <c r="B166" s="210"/>
      <c r="C166" s="119" t="s">
        <v>419</v>
      </c>
      <c r="D166" s="210" t="s">
        <v>8</v>
      </c>
      <c r="E166" s="211">
        <v>1</v>
      </c>
      <c r="F166" s="280"/>
      <c r="G166" s="255"/>
    </row>
    <row r="167" spans="1:7" ht="12" customHeight="1" x14ac:dyDescent="0.25">
      <c r="A167" s="383"/>
      <c r="B167" s="162"/>
      <c r="C167" s="384"/>
      <c r="D167" s="385"/>
      <c r="E167" s="386"/>
      <c r="F167" s="387"/>
      <c r="G167" s="388"/>
    </row>
    <row r="168" spans="1:7" x14ac:dyDescent="0.25">
      <c r="A168" s="214" t="s">
        <v>1195</v>
      </c>
      <c r="B168" s="210"/>
      <c r="C168" s="220" t="s">
        <v>420</v>
      </c>
      <c r="D168" s="210" t="s">
        <v>8</v>
      </c>
      <c r="E168" s="219">
        <v>2</v>
      </c>
      <c r="F168" s="282"/>
      <c r="G168" s="255"/>
    </row>
    <row r="169" spans="1:7" ht="12" customHeight="1" x14ac:dyDescent="0.25">
      <c r="A169" s="383"/>
      <c r="B169" s="162"/>
      <c r="C169" s="384"/>
      <c r="D169" s="385"/>
      <c r="E169" s="386"/>
      <c r="F169" s="387"/>
      <c r="G169" s="388"/>
    </row>
    <row r="170" spans="1:7" ht="36" x14ac:dyDescent="0.25">
      <c r="A170" s="214" t="s">
        <v>1196</v>
      </c>
      <c r="B170" s="210"/>
      <c r="C170" s="119" t="s">
        <v>421</v>
      </c>
      <c r="D170" s="210" t="s">
        <v>8</v>
      </c>
      <c r="E170" s="211">
        <v>1</v>
      </c>
      <c r="F170" s="280"/>
      <c r="G170" s="255"/>
    </row>
    <row r="171" spans="1:7" ht="12" customHeight="1" x14ac:dyDescent="0.25">
      <c r="A171" s="383"/>
      <c r="B171" s="162"/>
      <c r="C171" s="384"/>
      <c r="D171" s="385"/>
      <c r="E171" s="386"/>
      <c r="F171" s="387"/>
      <c r="G171" s="388"/>
    </row>
    <row r="172" spans="1:7" ht="24" x14ac:dyDescent="0.25">
      <c r="A172" s="227" t="s">
        <v>1197</v>
      </c>
      <c r="B172" s="207" t="s">
        <v>430</v>
      </c>
      <c r="C172" s="38" t="s">
        <v>245</v>
      </c>
      <c r="D172" s="210"/>
      <c r="E172" s="219"/>
      <c r="F172" s="274"/>
      <c r="G172" s="281"/>
    </row>
    <row r="173" spans="1:7" x14ac:dyDescent="0.25">
      <c r="A173" s="383"/>
      <c r="B173" s="162"/>
      <c r="C173" s="384"/>
      <c r="D173" s="385"/>
      <c r="E173" s="386"/>
      <c r="F173" s="387"/>
      <c r="G173" s="388"/>
    </row>
    <row r="174" spans="1:7" ht="60" x14ac:dyDescent="0.25">
      <c r="A174" s="214" t="s">
        <v>1198</v>
      </c>
      <c r="B174" s="210" t="s">
        <v>12</v>
      </c>
      <c r="C174" s="119" t="s">
        <v>2151</v>
      </c>
      <c r="D174" s="210" t="s">
        <v>28</v>
      </c>
      <c r="E174" s="219">
        <v>1</v>
      </c>
      <c r="F174" s="274"/>
      <c r="G174" s="255"/>
    </row>
    <row r="175" spans="1:7" x14ac:dyDescent="0.25">
      <c r="A175" s="383"/>
      <c r="B175" s="162"/>
      <c r="C175" s="384"/>
      <c r="D175" s="385"/>
      <c r="E175" s="386"/>
      <c r="F175" s="387"/>
      <c r="G175" s="388"/>
    </row>
    <row r="176" spans="1:7" x14ac:dyDescent="0.25">
      <c r="A176" s="214"/>
      <c r="B176" s="210"/>
      <c r="C176" s="119"/>
      <c r="D176" s="210"/>
      <c r="E176" s="219"/>
      <c r="F176" s="274"/>
      <c r="G176" s="255"/>
    </row>
    <row r="177" spans="1:7" x14ac:dyDescent="0.25">
      <c r="A177" s="383"/>
      <c r="B177" s="162"/>
      <c r="C177" s="384"/>
      <c r="D177" s="385"/>
      <c r="E177" s="386"/>
      <c r="F177" s="387"/>
      <c r="G177" s="388"/>
    </row>
    <row r="178" spans="1:7" x14ac:dyDescent="0.25">
      <c r="A178" s="214"/>
      <c r="B178" s="210"/>
      <c r="C178" s="119"/>
      <c r="D178" s="210"/>
      <c r="E178" s="219"/>
      <c r="F178" s="274"/>
      <c r="G178" s="255"/>
    </row>
    <row r="179" spans="1:7" x14ac:dyDescent="0.25">
      <c r="A179" s="383"/>
      <c r="B179" s="162"/>
      <c r="C179" s="384"/>
      <c r="D179" s="385"/>
      <c r="E179" s="386"/>
      <c r="F179" s="387"/>
      <c r="G179" s="388"/>
    </row>
    <row r="180" spans="1:7" x14ac:dyDescent="0.25">
      <c r="A180" s="214"/>
      <c r="B180" s="210"/>
      <c r="C180" s="119"/>
      <c r="D180" s="210"/>
      <c r="E180" s="219"/>
      <c r="F180" s="274"/>
      <c r="G180" s="255"/>
    </row>
    <row r="181" spans="1:7" x14ac:dyDescent="0.25">
      <c r="A181" s="383"/>
      <c r="B181" s="162"/>
      <c r="C181" s="384"/>
      <c r="D181" s="385"/>
      <c r="E181" s="386"/>
      <c r="F181" s="387"/>
      <c r="G181" s="388"/>
    </row>
    <row r="182" spans="1:7" x14ac:dyDescent="0.25">
      <c r="A182" s="214"/>
      <c r="B182" s="210"/>
      <c r="C182" s="119"/>
      <c r="D182" s="210"/>
      <c r="E182" s="219"/>
      <c r="F182" s="274"/>
      <c r="G182" s="255"/>
    </row>
    <row r="183" spans="1:7" x14ac:dyDescent="0.25">
      <c r="A183" s="383"/>
      <c r="B183" s="162"/>
      <c r="C183" s="384"/>
      <c r="D183" s="385"/>
      <c r="E183" s="386"/>
      <c r="F183" s="387"/>
      <c r="G183" s="388"/>
    </row>
    <row r="184" spans="1:7" x14ac:dyDescent="0.25">
      <c r="A184" s="214"/>
      <c r="B184" s="210"/>
      <c r="C184" s="119"/>
      <c r="D184" s="210"/>
      <c r="E184" s="219"/>
      <c r="F184" s="274"/>
      <c r="G184" s="255"/>
    </row>
    <row r="185" spans="1:7" x14ac:dyDescent="0.25">
      <c r="A185" s="383"/>
      <c r="B185" s="162"/>
      <c r="C185" s="384"/>
      <c r="D185" s="385"/>
      <c r="E185" s="386"/>
      <c r="F185" s="387"/>
      <c r="G185" s="388"/>
    </row>
    <row r="186" spans="1:7" x14ac:dyDescent="0.25">
      <c r="A186" s="214"/>
      <c r="B186" s="210"/>
      <c r="C186" s="119"/>
      <c r="D186" s="210"/>
      <c r="E186" s="219"/>
      <c r="F186" s="274"/>
      <c r="G186" s="255"/>
    </row>
    <row r="187" spans="1:7" x14ac:dyDescent="0.25">
      <c r="A187" s="383"/>
      <c r="B187" s="162"/>
      <c r="C187" s="384"/>
      <c r="D187" s="385"/>
      <c r="E187" s="386"/>
      <c r="F187" s="387"/>
      <c r="G187" s="388"/>
    </row>
    <row r="188" spans="1:7" x14ac:dyDescent="0.25">
      <c r="A188" s="214"/>
      <c r="B188" s="210"/>
      <c r="C188" s="119"/>
      <c r="D188" s="210"/>
      <c r="E188" s="219"/>
      <c r="F188" s="274"/>
      <c r="G188" s="255"/>
    </row>
    <row r="189" spans="1:7" x14ac:dyDescent="0.25">
      <c r="A189" s="383"/>
      <c r="B189" s="162"/>
      <c r="C189" s="384"/>
      <c r="D189" s="385"/>
      <c r="E189" s="386"/>
      <c r="F189" s="387"/>
      <c r="G189" s="388"/>
    </row>
    <row r="190" spans="1:7" x14ac:dyDescent="0.25">
      <c r="A190" s="214"/>
      <c r="B190" s="210"/>
      <c r="C190" s="119"/>
      <c r="D190" s="210"/>
      <c r="E190" s="219"/>
      <c r="F190" s="274"/>
      <c r="G190" s="255"/>
    </row>
    <row r="191" spans="1:7" x14ac:dyDescent="0.25">
      <c r="A191" s="383"/>
      <c r="B191" s="162"/>
      <c r="C191" s="384"/>
      <c r="D191" s="385"/>
      <c r="E191" s="386"/>
      <c r="F191" s="387"/>
      <c r="G191" s="388"/>
    </row>
    <row r="192" spans="1:7" x14ac:dyDescent="0.25">
      <c r="A192" s="214"/>
      <c r="B192" s="210"/>
      <c r="C192" s="119"/>
      <c r="D192" s="210"/>
      <c r="E192" s="219"/>
      <c r="F192" s="274"/>
      <c r="G192" s="255"/>
    </row>
    <row r="193" spans="1:7" x14ac:dyDescent="0.25">
      <c r="A193" s="383"/>
      <c r="B193" s="162"/>
      <c r="C193" s="384"/>
      <c r="D193" s="385"/>
      <c r="E193" s="386"/>
      <c r="F193" s="387"/>
      <c r="G193" s="388"/>
    </row>
    <row r="194" spans="1:7" x14ac:dyDescent="0.25">
      <c r="A194" s="214"/>
      <c r="B194" s="210"/>
      <c r="C194" s="119"/>
      <c r="D194" s="210"/>
      <c r="E194" s="219"/>
      <c r="F194" s="274"/>
      <c r="G194" s="255"/>
    </row>
    <row r="195" spans="1:7" x14ac:dyDescent="0.25">
      <c r="A195" s="383"/>
      <c r="B195" s="162"/>
      <c r="C195" s="384"/>
      <c r="D195" s="385"/>
      <c r="E195" s="386"/>
      <c r="F195" s="387"/>
      <c r="G195" s="388"/>
    </row>
    <row r="196" spans="1:7" x14ac:dyDescent="0.25">
      <c r="A196" s="214"/>
      <c r="B196" s="210"/>
      <c r="C196" s="119"/>
      <c r="D196" s="210"/>
      <c r="E196" s="219"/>
      <c r="F196" s="274"/>
      <c r="G196" s="255"/>
    </row>
    <row r="197" spans="1:7" x14ac:dyDescent="0.25">
      <c r="A197" s="383"/>
      <c r="B197" s="162"/>
      <c r="C197" s="384"/>
      <c r="D197" s="385"/>
      <c r="E197" s="386"/>
      <c r="F197" s="387"/>
      <c r="G197" s="388"/>
    </row>
    <row r="198" spans="1:7" x14ac:dyDescent="0.25">
      <c r="A198" s="214"/>
      <c r="B198" s="210"/>
      <c r="C198" s="119"/>
      <c r="D198" s="210"/>
      <c r="E198" s="219"/>
      <c r="F198" s="274"/>
      <c r="G198" s="255"/>
    </row>
    <row r="199" spans="1:7" x14ac:dyDescent="0.25">
      <c r="A199" s="383"/>
      <c r="B199" s="162"/>
      <c r="C199" s="384"/>
      <c r="D199" s="385"/>
      <c r="E199" s="386"/>
      <c r="F199" s="387"/>
      <c r="G199" s="388"/>
    </row>
    <row r="200" spans="1:7" x14ac:dyDescent="0.25">
      <c r="A200" s="214"/>
      <c r="B200" s="210"/>
      <c r="C200" s="119"/>
      <c r="D200" s="210"/>
      <c r="E200" s="219"/>
      <c r="F200" s="274"/>
      <c r="G200" s="255"/>
    </row>
    <row r="201" spans="1:7" x14ac:dyDescent="0.25">
      <c r="A201" s="383"/>
      <c r="B201" s="162"/>
      <c r="C201" s="384"/>
      <c r="D201" s="385"/>
      <c r="E201" s="386"/>
      <c r="F201" s="387"/>
      <c r="G201" s="388"/>
    </row>
    <row r="202" spans="1:7" x14ac:dyDescent="0.25">
      <c r="A202" s="214"/>
      <c r="B202" s="210"/>
      <c r="C202" s="119"/>
      <c r="D202" s="210"/>
      <c r="E202" s="219"/>
      <c r="F202" s="274"/>
      <c r="G202" s="255"/>
    </row>
    <row r="203" spans="1:7" x14ac:dyDescent="0.25">
      <c r="A203" s="383"/>
      <c r="B203" s="162"/>
      <c r="C203" s="384"/>
      <c r="D203" s="385"/>
      <c r="E203" s="386"/>
      <c r="F203" s="387"/>
      <c r="G203" s="388"/>
    </row>
    <row r="204" spans="1:7" x14ac:dyDescent="0.25">
      <c r="A204" s="214"/>
      <c r="B204" s="210"/>
      <c r="C204" s="119"/>
      <c r="D204" s="210"/>
      <c r="E204" s="219"/>
      <c r="F204" s="274"/>
      <c r="G204" s="255"/>
    </row>
    <row r="205" spans="1:7" x14ac:dyDescent="0.25">
      <c r="A205" s="383"/>
      <c r="B205" s="162"/>
      <c r="C205" s="384"/>
      <c r="D205" s="385"/>
      <c r="E205" s="386"/>
      <c r="F205" s="387"/>
      <c r="G205" s="388"/>
    </row>
    <row r="206" spans="1:7" x14ac:dyDescent="0.25">
      <c r="A206" s="214"/>
      <c r="B206" s="210"/>
      <c r="C206" s="119"/>
      <c r="D206" s="210"/>
      <c r="E206" s="219"/>
      <c r="F206" s="274"/>
      <c r="G206" s="255"/>
    </row>
    <row r="207" spans="1:7" x14ac:dyDescent="0.25">
      <c r="A207" s="383"/>
      <c r="B207" s="162"/>
      <c r="C207" s="384"/>
      <c r="D207" s="385"/>
      <c r="E207" s="386"/>
      <c r="F207" s="387"/>
      <c r="G207" s="388"/>
    </row>
    <row r="208" spans="1:7" x14ac:dyDescent="0.25">
      <c r="A208" s="214"/>
      <c r="B208" s="210"/>
      <c r="C208" s="119"/>
      <c r="D208" s="210"/>
      <c r="E208" s="219"/>
      <c r="F208" s="274"/>
      <c r="G208" s="255"/>
    </row>
    <row r="209" spans="1:7" x14ac:dyDescent="0.25">
      <c r="A209" s="383"/>
      <c r="B209" s="162"/>
      <c r="C209" s="384"/>
      <c r="D209" s="385"/>
      <c r="E209" s="386"/>
      <c r="F209" s="387"/>
      <c r="G209" s="388"/>
    </row>
    <row r="210" spans="1:7" ht="28.5" customHeight="1" x14ac:dyDescent="0.25">
      <c r="A210" s="526" t="s">
        <v>537</v>
      </c>
      <c r="B210" s="526"/>
      <c r="C210" s="526"/>
      <c r="D210" s="526"/>
      <c r="E210" s="526"/>
      <c r="F210" s="526"/>
      <c r="G210" s="188"/>
    </row>
    <row r="211" spans="1:7" x14ac:dyDescent="0.25">
      <c r="A211" s="383"/>
      <c r="B211" s="162"/>
      <c r="C211" s="384"/>
      <c r="D211" s="385"/>
      <c r="E211" s="386"/>
      <c r="F211" s="387"/>
      <c r="G211" s="388"/>
    </row>
    <row r="212" spans="1:7" x14ac:dyDescent="0.25">
      <c r="A212" s="283" t="s">
        <v>423</v>
      </c>
      <c r="B212" s="283"/>
      <c r="C212" s="284" t="s">
        <v>881</v>
      </c>
      <c r="D212" s="210"/>
      <c r="E212" s="219"/>
      <c r="F212" s="274"/>
      <c r="G212" s="281"/>
    </row>
    <row r="213" spans="1:7" x14ac:dyDescent="0.25">
      <c r="A213" s="383"/>
      <c r="B213" s="162"/>
      <c r="C213" s="384"/>
      <c r="D213" s="385"/>
      <c r="E213" s="386"/>
      <c r="F213" s="387"/>
      <c r="G213" s="388"/>
    </row>
    <row r="214" spans="1:7" x14ac:dyDescent="0.25">
      <c r="A214" s="214"/>
      <c r="B214" s="210"/>
      <c r="C214" s="220" t="s">
        <v>882</v>
      </c>
      <c r="D214" s="210"/>
      <c r="E214" s="219"/>
      <c r="F214" s="274"/>
      <c r="G214" s="281"/>
    </row>
    <row r="215" spans="1:7" x14ac:dyDescent="0.25">
      <c r="A215" s="383"/>
      <c r="B215" s="162"/>
      <c r="C215" s="384"/>
      <c r="D215" s="385"/>
      <c r="E215" s="386"/>
      <c r="F215" s="387"/>
      <c r="G215" s="388"/>
    </row>
    <row r="216" spans="1:7" ht="24" x14ac:dyDescent="0.25">
      <c r="A216" s="227" t="s">
        <v>1199</v>
      </c>
      <c r="B216" s="207" t="s">
        <v>883</v>
      </c>
      <c r="C216" s="271" t="s">
        <v>241</v>
      </c>
      <c r="D216" s="210"/>
      <c r="E216" s="219"/>
      <c r="F216" s="274"/>
      <c r="G216" s="281"/>
    </row>
    <row r="217" spans="1:7" x14ac:dyDescent="0.25">
      <c r="A217" s="383"/>
      <c r="B217" s="162"/>
      <c r="C217" s="384"/>
      <c r="D217" s="385"/>
      <c r="E217" s="386"/>
      <c r="F217" s="387"/>
      <c r="G217" s="388"/>
    </row>
    <row r="218" spans="1:7" ht="13.5" x14ac:dyDescent="0.25">
      <c r="A218" s="214" t="s">
        <v>1200</v>
      </c>
      <c r="B218" s="210" t="s">
        <v>5</v>
      </c>
      <c r="C218" s="220" t="s">
        <v>884</v>
      </c>
      <c r="D218" s="142" t="s">
        <v>87</v>
      </c>
      <c r="E218" s="241">
        <f>ROUND(1.75*1.75,1)</f>
        <v>3.1</v>
      </c>
      <c r="F218" s="242"/>
      <c r="G218" s="232"/>
    </row>
    <row r="219" spans="1:7" x14ac:dyDescent="0.25">
      <c r="A219" s="383"/>
      <c r="B219" s="400"/>
      <c r="C219" s="384"/>
      <c r="D219" s="385"/>
      <c r="E219" s="386"/>
      <c r="F219" s="387"/>
      <c r="G219" s="388"/>
    </row>
    <row r="220" spans="1:7" ht="36" x14ac:dyDescent="0.25">
      <c r="A220" s="214" t="s">
        <v>1201</v>
      </c>
      <c r="B220" s="210" t="s">
        <v>394</v>
      </c>
      <c r="C220" s="233" t="s">
        <v>496</v>
      </c>
      <c r="D220" s="142" t="s">
        <v>87</v>
      </c>
      <c r="E220" s="241">
        <f>E218</f>
        <v>3.1</v>
      </c>
      <c r="F220" s="242"/>
      <c r="G220" s="232"/>
    </row>
    <row r="221" spans="1:7" x14ac:dyDescent="0.25">
      <c r="A221" s="383"/>
      <c r="B221" s="162"/>
      <c r="C221" s="384"/>
      <c r="D221" s="385"/>
      <c r="E221" s="386"/>
      <c r="F221" s="387"/>
      <c r="G221" s="388"/>
    </row>
    <row r="222" spans="1:7" ht="24" x14ac:dyDescent="0.25">
      <c r="A222" s="227" t="s">
        <v>1202</v>
      </c>
      <c r="B222" s="207" t="s">
        <v>244</v>
      </c>
      <c r="C222" s="38" t="s">
        <v>9</v>
      </c>
      <c r="D222" s="210"/>
      <c r="E222" s="211"/>
      <c r="F222" s="280"/>
      <c r="G222" s="255"/>
    </row>
    <row r="223" spans="1:7" x14ac:dyDescent="0.25">
      <c r="A223" s="383"/>
      <c r="B223" s="162"/>
      <c r="C223" s="384"/>
      <c r="D223" s="385"/>
      <c r="E223" s="386"/>
      <c r="F223" s="387"/>
      <c r="G223" s="388"/>
    </row>
    <row r="224" spans="1:7" ht="60" x14ac:dyDescent="0.25">
      <c r="A224" s="214" t="s">
        <v>1203</v>
      </c>
      <c r="B224" s="210" t="s">
        <v>18</v>
      </c>
      <c r="C224" s="233" t="s">
        <v>885</v>
      </c>
      <c r="D224" s="210" t="s">
        <v>88</v>
      </c>
      <c r="E224" s="211">
        <f>ROUND(1.75*1.75*3,1)</f>
        <v>9.1999999999999993</v>
      </c>
      <c r="F224" s="234"/>
      <c r="G224" s="255"/>
    </row>
    <row r="225" spans="1:7" x14ac:dyDescent="0.25">
      <c r="A225" s="383"/>
      <c r="B225" s="162"/>
      <c r="C225" s="384"/>
      <c r="D225" s="385"/>
      <c r="E225" s="386"/>
      <c r="F225" s="387"/>
      <c r="G225" s="388"/>
    </row>
    <row r="226" spans="1:7" ht="36" x14ac:dyDescent="0.25">
      <c r="A226" s="214" t="s">
        <v>1204</v>
      </c>
      <c r="B226" s="210" t="s">
        <v>563</v>
      </c>
      <c r="C226" s="119" t="s">
        <v>790</v>
      </c>
      <c r="D226" s="210" t="s">
        <v>88</v>
      </c>
      <c r="E226" s="211">
        <f>ROUND(1.75*1.75*0.15,1)</f>
        <v>0.5</v>
      </c>
      <c r="F226" s="274"/>
      <c r="G226" s="255"/>
    </row>
    <row r="227" spans="1:7" x14ac:dyDescent="0.25">
      <c r="A227" s="383"/>
      <c r="B227" s="162"/>
      <c r="C227" s="384"/>
      <c r="D227" s="385"/>
      <c r="E227" s="386"/>
      <c r="F227" s="387"/>
      <c r="G227" s="388"/>
    </row>
    <row r="228" spans="1:7" ht="36" x14ac:dyDescent="0.25">
      <c r="A228" s="214" t="s">
        <v>1205</v>
      </c>
      <c r="B228" s="210" t="s">
        <v>398</v>
      </c>
      <c r="C228" s="233" t="s">
        <v>857</v>
      </c>
      <c r="D228" s="142" t="s">
        <v>28</v>
      </c>
      <c r="E228" s="211">
        <v>1</v>
      </c>
      <c r="F228" s="234"/>
      <c r="G228" s="255"/>
    </row>
    <row r="229" spans="1:7" x14ac:dyDescent="0.25">
      <c r="A229" s="383"/>
      <c r="B229" s="162"/>
      <c r="C229" s="384"/>
      <c r="D229" s="385"/>
      <c r="E229" s="386"/>
      <c r="F229" s="387"/>
      <c r="G229" s="388"/>
    </row>
    <row r="230" spans="1:7" ht="24" x14ac:dyDescent="0.25">
      <c r="A230" s="227" t="s">
        <v>1206</v>
      </c>
      <c r="B230" s="207" t="s">
        <v>148</v>
      </c>
      <c r="C230" s="271" t="s">
        <v>422</v>
      </c>
      <c r="D230" s="210"/>
      <c r="E230" s="219"/>
      <c r="F230" s="282"/>
      <c r="G230" s="255"/>
    </row>
    <row r="231" spans="1:7" x14ac:dyDescent="0.25">
      <c r="A231" s="383"/>
      <c r="B231" s="162"/>
      <c r="C231" s="384"/>
      <c r="D231" s="385"/>
      <c r="E231" s="386"/>
      <c r="F231" s="387"/>
      <c r="G231" s="388"/>
    </row>
    <row r="232" spans="1:7" x14ac:dyDescent="0.25">
      <c r="A232" s="214"/>
      <c r="B232" s="206">
        <v>8.1999999999999993</v>
      </c>
      <c r="C232" s="218" t="s">
        <v>149</v>
      </c>
      <c r="D232" s="142"/>
      <c r="E232" s="187"/>
      <c r="F232" s="270"/>
      <c r="G232" s="207"/>
    </row>
    <row r="233" spans="1:7" x14ac:dyDescent="0.25">
      <c r="A233" s="383"/>
      <c r="B233" s="162"/>
      <c r="C233" s="384"/>
      <c r="D233" s="385"/>
      <c r="E233" s="386"/>
      <c r="F233" s="387"/>
      <c r="G233" s="388"/>
    </row>
    <row r="234" spans="1:7" x14ac:dyDescent="0.25">
      <c r="A234" s="227"/>
      <c r="B234" s="206"/>
      <c r="C234" s="245" t="s">
        <v>172</v>
      </c>
      <c r="D234" s="142"/>
      <c r="E234" s="187"/>
      <c r="F234" s="270"/>
      <c r="G234" s="207"/>
    </row>
    <row r="235" spans="1:7" x14ac:dyDescent="0.25">
      <c r="A235" s="383"/>
      <c r="B235" s="162"/>
      <c r="C235" s="384"/>
      <c r="D235" s="385"/>
      <c r="E235" s="386"/>
      <c r="F235" s="387"/>
      <c r="G235" s="388"/>
    </row>
    <row r="236" spans="1:7" ht="13.5" x14ac:dyDescent="0.25">
      <c r="A236" s="214" t="s">
        <v>1207</v>
      </c>
      <c r="B236" s="142" t="s">
        <v>5</v>
      </c>
      <c r="C236" s="235" t="s">
        <v>886</v>
      </c>
      <c r="D236" s="142" t="s">
        <v>87</v>
      </c>
      <c r="E236" s="187">
        <f>+ROUND(1.75*0.3*4,1)</f>
        <v>2.1</v>
      </c>
      <c r="F236" s="274"/>
      <c r="G236" s="255"/>
    </row>
    <row r="237" spans="1:7" x14ac:dyDescent="0.25">
      <c r="A237" s="383"/>
      <c r="B237" s="162"/>
      <c r="C237" s="384"/>
      <c r="D237" s="385"/>
      <c r="E237" s="386"/>
      <c r="F237" s="387"/>
      <c r="G237" s="388"/>
    </row>
    <row r="238" spans="1:7" x14ac:dyDescent="0.25">
      <c r="A238" s="214"/>
      <c r="B238" s="273" t="s">
        <v>7</v>
      </c>
      <c r="C238" s="257" t="s">
        <v>795</v>
      </c>
      <c r="D238" s="142"/>
      <c r="E238" s="187"/>
      <c r="F238" s="274"/>
      <c r="G238" s="255"/>
    </row>
    <row r="239" spans="1:7" x14ac:dyDescent="0.25">
      <c r="A239" s="383"/>
      <c r="B239" s="162"/>
      <c r="C239" s="384"/>
      <c r="D239" s="385"/>
      <c r="E239" s="386"/>
      <c r="F239" s="387"/>
      <c r="G239" s="388"/>
    </row>
    <row r="240" spans="1:7" x14ac:dyDescent="0.25">
      <c r="A240" s="249"/>
      <c r="B240" s="273"/>
      <c r="C240" s="275" t="s">
        <v>175</v>
      </c>
      <c r="D240" s="142"/>
      <c r="E240" s="187"/>
      <c r="F240" s="274"/>
      <c r="G240" s="255"/>
    </row>
    <row r="241" spans="1:7" x14ac:dyDescent="0.25">
      <c r="A241" s="383"/>
      <c r="B241" s="162"/>
      <c r="C241" s="384"/>
      <c r="D241" s="385"/>
      <c r="E241" s="386"/>
      <c r="F241" s="387"/>
      <c r="G241" s="388"/>
    </row>
    <row r="242" spans="1:7" ht="13.5" x14ac:dyDescent="0.25">
      <c r="A242" s="249" t="s">
        <v>1208</v>
      </c>
      <c r="B242" s="142"/>
      <c r="C242" s="235" t="s">
        <v>887</v>
      </c>
      <c r="D242" s="142" t="s">
        <v>87</v>
      </c>
      <c r="E242" s="187">
        <f>+ROUND((1.25*2*4)+(1.75*2*4),1)</f>
        <v>24</v>
      </c>
      <c r="F242" s="262"/>
      <c r="G242" s="255"/>
    </row>
    <row r="243" spans="1:7" x14ac:dyDescent="0.25">
      <c r="A243" s="383"/>
      <c r="B243" s="162"/>
      <c r="C243" s="384"/>
      <c r="D243" s="385"/>
      <c r="E243" s="386"/>
      <c r="F243" s="387"/>
      <c r="G243" s="388"/>
    </row>
    <row r="244" spans="1:7" ht="13.5" x14ac:dyDescent="0.25">
      <c r="A244" s="249" t="s">
        <v>1209</v>
      </c>
      <c r="B244" s="142"/>
      <c r="C244" s="235" t="s">
        <v>889</v>
      </c>
      <c r="D244" s="142" t="s">
        <v>87</v>
      </c>
      <c r="E244" s="187">
        <f>+ROUND(1.75*0.2*4,1)</f>
        <v>1.4</v>
      </c>
      <c r="F244" s="262"/>
      <c r="G244" s="255"/>
    </row>
    <row r="245" spans="1:7" x14ac:dyDescent="0.25">
      <c r="A245" s="383"/>
      <c r="B245" s="162"/>
      <c r="C245" s="384"/>
      <c r="D245" s="385"/>
      <c r="E245" s="386"/>
      <c r="F245" s="387"/>
      <c r="G245" s="388"/>
    </row>
    <row r="246" spans="1:7" x14ac:dyDescent="0.25">
      <c r="A246" s="249"/>
      <c r="B246" s="142"/>
      <c r="C246" s="277" t="s">
        <v>176</v>
      </c>
      <c r="D246" s="142"/>
      <c r="E246" s="278"/>
      <c r="F246" s="262"/>
      <c r="G246" s="235"/>
    </row>
    <row r="247" spans="1:7" x14ac:dyDescent="0.25">
      <c r="A247" s="383"/>
      <c r="B247" s="162"/>
      <c r="C247" s="384"/>
      <c r="D247" s="385"/>
      <c r="E247" s="386"/>
      <c r="F247" s="387"/>
      <c r="G247" s="388"/>
    </row>
    <row r="248" spans="1:7" ht="13.5" x14ac:dyDescent="0.25">
      <c r="A248" s="249" t="s">
        <v>1210</v>
      </c>
      <c r="B248" s="142"/>
      <c r="C248" s="235" t="s">
        <v>890</v>
      </c>
      <c r="D248" s="142" t="s">
        <v>87</v>
      </c>
      <c r="E248" s="187">
        <f>ROUND(1.75*1.75,1)</f>
        <v>3.1</v>
      </c>
      <c r="F248" s="262"/>
      <c r="G248" s="255"/>
    </row>
    <row r="249" spans="1:7" x14ac:dyDescent="0.25">
      <c r="A249" s="383"/>
      <c r="B249" s="162"/>
      <c r="C249" s="384"/>
      <c r="D249" s="385"/>
      <c r="E249" s="386"/>
      <c r="F249" s="387"/>
      <c r="G249" s="388"/>
    </row>
    <row r="250" spans="1:7" x14ac:dyDescent="0.25">
      <c r="A250" s="150"/>
      <c r="B250" s="121"/>
      <c r="C250" s="117"/>
      <c r="D250" s="121"/>
      <c r="E250" s="139"/>
      <c r="F250" s="149"/>
      <c r="G250" s="145"/>
    </row>
    <row r="251" spans="1:7" x14ac:dyDescent="0.25">
      <c r="A251" s="383"/>
      <c r="B251" s="162"/>
      <c r="C251" s="384"/>
      <c r="D251" s="385"/>
      <c r="E251" s="386"/>
      <c r="F251" s="387"/>
      <c r="G251" s="388"/>
    </row>
    <row r="252" spans="1:7" ht="28.5" customHeight="1" x14ac:dyDescent="0.25">
      <c r="A252" s="538" t="s">
        <v>609</v>
      </c>
      <c r="B252" s="538"/>
      <c r="C252" s="538"/>
      <c r="D252" s="538"/>
      <c r="E252" s="538"/>
      <c r="F252" s="538"/>
      <c r="G252" s="158"/>
    </row>
    <row r="253" spans="1:7" ht="28.5" customHeight="1" x14ac:dyDescent="0.25">
      <c r="A253" s="538" t="s">
        <v>610</v>
      </c>
      <c r="B253" s="538"/>
      <c r="C253" s="538"/>
      <c r="D253" s="538"/>
      <c r="E253" s="538"/>
      <c r="F253" s="538"/>
      <c r="G253" s="158"/>
    </row>
    <row r="254" spans="1:7" x14ac:dyDescent="0.25">
      <c r="A254" s="383"/>
      <c r="B254" s="162"/>
      <c r="C254" s="384"/>
      <c r="D254" s="385"/>
      <c r="E254" s="386"/>
      <c r="F254" s="387"/>
      <c r="G254" s="388"/>
    </row>
    <row r="255" spans="1:7" x14ac:dyDescent="0.25">
      <c r="A255" s="249"/>
      <c r="B255" s="273" t="s">
        <v>476</v>
      </c>
      <c r="C255" s="279" t="s">
        <v>403</v>
      </c>
      <c r="D255" s="142"/>
      <c r="E255" s="187"/>
      <c r="F255" s="262"/>
      <c r="G255" s="255"/>
    </row>
    <row r="256" spans="1:7" x14ac:dyDescent="0.25">
      <c r="A256" s="424"/>
      <c r="B256" s="240"/>
      <c r="C256" s="254"/>
      <c r="D256" s="251"/>
      <c r="E256" s="236"/>
      <c r="F256" s="453"/>
      <c r="G256" s="252"/>
    </row>
    <row r="257" spans="1:7" ht="24" x14ac:dyDescent="0.25">
      <c r="A257" s="249" t="s">
        <v>1211</v>
      </c>
      <c r="B257" s="142"/>
      <c r="C257" s="119" t="s">
        <v>891</v>
      </c>
      <c r="D257" s="142" t="s">
        <v>8</v>
      </c>
      <c r="E257" s="241">
        <v>2</v>
      </c>
      <c r="F257" s="234"/>
      <c r="G257" s="232"/>
    </row>
    <row r="258" spans="1:7" x14ac:dyDescent="0.25">
      <c r="A258" s="424"/>
      <c r="B258" s="240"/>
      <c r="C258" s="254"/>
      <c r="D258" s="251"/>
      <c r="E258" s="236"/>
      <c r="F258" s="453"/>
      <c r="G258" s="252"/>
    </row>
    <row r="259" spans="1:7" ht="24" x14ac:dyDescent="0.25">
      <c r="A259" s="249" t="s">
        <v>1212</v>
      </c>
      <c r="B259" s="142"/>
      <c r="C259" s="233" t="s">
        <v>892</v>
      </c>
      <c r="D259" s="142" t="s">
        <v>8</v>
      </c>
      <c r="E259" s="241">
        <v>1</v>
      </c>
      <c r="F259" s="234"/>
      <c r="G259" s="232"/>
    </row>
    <row r="260" spans="1:7" x14ac:dyDescent="0.25">
      <c r="A260" s="424"/>
      <c r="B260" s="240"/>
      <c r="C260" s="254"/>
      <c r="D260" s="251"/>
      <c r="E260" s="236"/>
      <c r="F260" s="453"/>
      <c r="G260" s="252"/>
    </row>
    <row r="261" spans="1:7" x14ac:dyDescent="0.25">
      <c r="A261" s="249"/>
      <c r="B261" s="207">
        <v>8.3000000000000007</v>
      </c>
      <c r="C261" s="38" t="s">
        <v>151</v>
      </c>
      <c r="D261" s="210"/>
      <c r="E261" s="241"/>
      <c r="F261" s="242"/>
      <c r="G261" s="243"/>
    </row>
    <row r="262" spans="1:7" x14ac:dyDescent="0.25">
      <c r="A262" s="424"/>
      <c r="B262" s="240"/>
      <c r="C262" s="254"/>
      <c r="D262" s="251"/>
      <c r="E262" s="236"/>
      <c r="F262" s="453"/>
      <c r="G262" s="252"/>
    </row>
    <row r="263" spans="1:7" x14ac:dyDescent="0.25">
      <c r="A263" s="249"/>
      <c r="B263" s="210"/>
      <c r="C263" s="258" t="s">
        <v>406</v>
      </c>
      <c r="D263" s="210"/>
      <c r="E263" s="241"/>
      <c r="F263" s="242"/>
      <c r="G263" s="243"/>
    </row>
    <row r="264" spans="1:7" x14ac:dyDescent="0.25">
      <c r="A264" s="424"/>
      <c r="B264" s="240"/>
      <c r="C264" s="254"/>
      <c r="D264" s="251"/>
      <c r="E264" s="236"/>
      <c r="F264" s="453"/>
      <c r="G264" s="252"/>
    </row>
    <row r="265" spans="1:7" x14ac:dyDescent="0.25">
      <c r="A265" s="249" t="s">
        <v>1213</v>
      </c>
      <c r="B265" s="210" t="s">
        <v>26</v>
      </c>
      <c r="C265" s="119" t="s">
        <v>177</v>
      </c>
      <c r="D265" s="210" t="s">
        <v>92</v>
      </c>
      <c r="E265" s="241">
        <f>+ROUND((1.75*1.75*0.25*0.135)+(1.5*2*0.15)+(1.75*1.75*0.2*0.135),1)</f>
        <v>0.6</v>
      </c>
      <c r="F265" s="242"/>
      <c r="G265" s="255"/>
    </row>
    <row r="266" spans="1:7" x14ac:dyDescent="0.25">
      <c r="A266" s="424"/>
      <c r="B266" s="240"/>
      <c r="C266" s="254"/>
      <c r="D266" s="251"/>
      <c r="E266" s="236"/>
      <c r="F266" s="453"/>
      <c r="G266" s="252"/>
    </row>
    <row r="267" spans="1:7" x14ac:dyDescent="0.25">
      <c r="A267" s="249"/>
      <c r="B267" s="207">
        <v>8.4</v>
      </c>
      <c r="C267" s="38" t="s">
        <v>152</v>
      </c>
      <c r="D267" s="229"/>
      <c r="E267" s="241"/>
      <c r="F267" s="242"/>
      <c r="G267" s="243"/>
    </row>
    <row r="268" spans="1:7" x14ac:dyDescent="0.25">
      <c r="A268" s="424"/>
      <c r="B268" s="240"/>
      <c r="C268" s="254"/>
      <c r="D268" s="251"/>
      <c r="E268" s="236"/>
      <c r="F268" s="453"/>
      <c r="G268" s="252"/>
    </row>
    <row r="269" spans="1:7" x14ac:dyDescent="0.25">
      <c r="A269" s="249"/>
      <c r="B269" s="210"/>
      <c r="C269" s="258" t="s">
        <v>407</v>
      </c>
      <c r="D269" s="229"/>
      <c r="E269" s="241"/>
      <c r="F269" s="242"/>
      <c r="G269" s="243"/>
    </row>
    <row r="270" spans="1:7" x14ac:dyDescent="0.25">
      <c r="A270" s="424"/>
      <c r="B270" s="240"/>
      <c r="C270" s="254"/>
      <c r="D270" s="251"/>
      <c r="E270" s="236"/>
      <c r="F270" s="453"/>
      <c r="G270" s="252"/>
    </row>
    <row r="271" spans="1:7" x14ac:dyDescent="0.25">
      <c r="A271" s="249"/>
      <c r="B271" s="221" t="s">
        <v>94</v>
      </c>
      <c r="C271" s="212" t="s">
        <v>525</v>
      </c>
      <c r="D271" s="229"/>
      <c r="E271" s="241"/>
      <c r="F271" s="242"/>
      <c r="G271" s="243"/>
    </row>
    <row r="272" spans="1:7" x14ac:dyDescent="0.25">
      <c r="A272" s="424"/>
      <c r="B272" s="240"/>
      <c r="C272" s="254"/>
      <c r="D272" s="251"/>
      <c r="E272" s="236"/>
      <c r="F272" s="453"/>
      <c r="G272" s="252"/>
    </row>
    <row r="273" spans="1:7" ht="24" x14ac:dyDescent="0.25">
      <c r="A273" s="249" t="s">
        <v>1214</v>
      </c>
      <c r="B273" s="210"/>
      <c r="C273" s="119" t="s">
        <v>867</v>
      </c>
      <c r="D273" s="142" t="s">
        <v>88</v>
      </c>
      <c r="E273" s="241">
        <f>+ROUND((1.75*1.75*0.25)+(1.5*2)+(1.75*1.75*0.2),1)</f>
        <v>4.4000000000000004</v>
      </c>
      <c r="F273" s="242"/>
      <c r="G273" s="255"/>
    </row>
    <row r="274" spans="1:7" x14ac:dyDescent="0.25">
      <c r="A274" s="424"/>
      <c r="B274" s="240"/>
      <c r="C274" s="254"/>
      <c r="D274" s="251"/>
      <c r="E274" s="236"/>
      <c r="F274" s="453"/>
      <c r="G274" s="252"/>
    </row>
    <row r="275" spans="1:7" ht="24" x14ac:dyDescent="0.25">
      <c r="A275" s="249" t="s">
        <v>1215</v>
      </c>
      <c r="B275" s="229"/>
      <c r="C275" s="119" t="s">
        <v>827</v>
      </c>
      <c r="D275" s="142" t="s">
        <v>88</v>
      </c>
      <c r="E275" s="241">
        <f>+ROUND((1.75*1.75*0.05)+(0.7*0.7*0.3),1)</f>
        <v>0.3</v>
      </c>
      <c r="F275" s="242"/>
      <c r="G275" s="255"/>
    </row>
    <row r="276" spans="1:7" x14ac:dyDescent="0.25">
      <c r="A276" s="424"/>
      <c r="B276" s="240"/>
      <c r="C276" s="254"/>
      <c r="D276" s="251"/>
      <c r="E276" s="236"/>
      <c r="F276" s="453"/>
      <c r="G276" s="252"/>
    </row>
    <row r="277" spans="1:7" ht="24" x14ac:dyDescent="0.25">
      <c r="A277" s="249" t="s">
        <v>1216</v>
      </c>
      <c r="B277" s="210" t="s">
        <v>58</v>
      </c>
      <c r="C277" s="119" t="s">
        <v>893</v>
      </c>
      <c r="D277" s="210" t="s">
        <v>87</v>
      </c>
      <c r="E277" s="241">
        <v>4.5999999999999996</v>
      </c>
      <c r="F277" s="241"/>
      <c r="G277" s="255"/>
    </row>
    <row r="278" spans="1:7" x14ac:dyDescent="0.25">
      <c r="A278" s="424"/>
      <c r="B278" s="240"/>
      <c r="C278" s="254"/>
      <c r="D278" s="251"/>
      <c r="E278" s="236"/>
      <c r="F278" s="453"/>
      <c r="G278" s="252"/>
    </row>
    <row r="279" spans="1:7" ht="24" x14ac:dyDescent="0.25">
      <c r="A279" s="249" t="s">
        <v>1217</v>
      </c>
      <c r="B279" s="210">
        <v>8.5</v>
      </c>
      <c r="C279" s="119" t="s">
        <v>894</v>
      </c>
      <c r="D279" s="210" t="s">
        <v>6</v>
      </c>
      <c r="E279" s="241">
        <f>ROUND(1.725*4,1)</f>
        <v>6.9</v>
      </c>
      <c r="F279" s="242"/>
      <c r="G279" s="255"/>
    </row>
    <row r="280" spans="1:7" x14ac:dyDescent="0.25">
      <c r="A280" s="424"/>
      <c r="B280" s="240"/>
      <c r="C280" s="254"/>
      <c r="D280" s="251"/>
      <c r="E280" s="236"/>
      <c r="F280" s="453"/>
      <c r="G280" s="252"/>
    </row>
    <row r="281" spans="1:7" x14ac:dyDescent="0.25">
      <c r="A281" s="249"/>
      <c r="B281" s="210"/>
      <c r="C281" s="38" t="s">
        <v>996</v>
      </c>
      <c r="D281" s="210"/>
      <c r="E281" s="241"/>
      <c r="F281" s="242"/>
      <c r="G281" s="255"/>
    </row>
    <row r="282" spans="1:7" x14ac:dyDescent="0.25">
      <c r="A282" s="424"/>
      <c r="B282" s="240"/>
      <c r="C282" s="254"/>
      <c r="D282" s="251"/>
      <c r="E282" s="236"/>
      <c r="F282" s="453"/>
      <c r="G282" s="252"/>
    </row>
    <row r="283" spans="1:7" ht="36" x14ac:dyDescent="0.25">
      <c r="A283" s="249" t="s">
        <v>1218</v>
      </c>
      <c r="B283" s="210"/>
      <c r="C283" s="119" t="s">
        <v>997</v>
      </c>
      <c r="D283" s="210" t="s">
        <v>8</v>
      </c>
      <c r="E283" s="241">
        <v>1</v>
      </c>
      <c r="F283" s="242"/>
      <c r="G283" s="255"/>
    </row>
    <row r="284" spans="1:7" x14ac:dyDescent="0.25">
      <c r="A284" s="383"/>
      <c r="B284" s="162"/>
      <c r="C284" s="384"/>
      <c r="D284" s="385"/>
      <c r="E284" s="386"/>
      <c r="F284" s="387"/>
      <c r="G284" s="388"/>
    </row>
    <row r="285" spans="1:7" x14ac:dyDescent="0.25">
      <c r="A285" s="150"/>
      <c r="B285" s="136"/>
      <c r="C285" s="136"/>
      <c r="D285" s="112"/>
      <c r="E285" s="56"/>
      <c r="F285" s="54"/>
      <c r="G285" s="145"/>
    </row>
    <row r="286" spans="1:7" x14ac:dyDescent="0.25">
      <c r="A286" s="383"/>
      <c r="B286" s="162"/>
      <c r="C286" s="384"/>
      <c r="D286" s="385"/>
      <c r="E286" s="386"/>
      <c r="F286" s="387"/>
      <c r="G286" s="388"/>
    </row>
    <row r="287" spans="1:7" x14ac:dyDescent="0.25">
      <c r="A287" s="150"/>
      <c r="B287" s="136"/>
      <c r="C287" s="136"/>
      <c r="D287" s="112"/>
      <c r="E287" s="56"/>
      <c r="F287" s="54"/>
      <c r="G287" s="145"/>
    </row>
    <row r="288" spans="1:7" x14ac:dyDescent="0.25">
      <c r="A288" s="383"/>
      <c r="B288" s="162"/>
      <c r="C288" s="384"/>
      <c r="D288" s="385"/>
      <c r="E288" s="386"/>
      <c r="F288" s="387"/>
      <c r="G288" s="388"/>
    </row>
    <row r="289" spans="1:7" x14ac:dyDescent="0.25">
      <c r="A289" s="150"/>
      <c r="B289" s="136"/>
      <c r="C289" s="136"/>
      <c r="D289" s="112"/>
      <c r="E289" s="56"/>
      <c r="F289" s="54"/>
      <c r="G289" s="145"/>
    </row>
    <row r="290" spans="1:7" x14ac:dyDescent="0.25">
      <c r="A290" s="383"/>
      <c r="B290" s="162"/>
      <c r="C290" s="384"/>
      <c r="D290" s="385"/>
      <c r="E290" s="386"/>
      <c r="F290" s="387"/>
      <c r="G290" s="388"/>
    </row>
    <row r="291" spans="1:7" x14ac:dyDescent="0.25">
      <c r="A291" s="150"/>
      <c r="B291" s="136"/>
      <c r="C291" s="136"/>
      <c r="D291" s="112"/>
      <c r="E291" s="56"/>
      <c r="F291" s="54"/>
      <c r="G291" s="145"/>
    </row>
    <row r="292" spans="1:7" x14ac:dyDescent="0.25">
      <c r="A292" s="383"/>
      <c r="B292" s="162"/>
      <c r="C292" s="384"/>
      <c r="D292" s="385"/>
      <c r="E292" s="386"/>
      <c r="F292" s="387"/>
      <c r="G292" s="388"/>
    </row>
    <row r="293" spans="1:7" x14ac:dyDescent="0.25">
      <c r="A293" s="150"/>
      <c r="B293" s="136"/>
      <c r="C293" s="136"/>
      <c r="D293" s="112"/>
      <c r="E293" s="56"/>
      <c r="F293" s="54"/>
      <c r="G293" s="145"/>
    </row>
    <row r="294" spans="1:7" x14ac:dyDescent="0.25">
      <c r="A294" s="383"/>
      <c r="B294" s="162"/>
      <c r="C294" s="384"/>
      <c r="D294" s="385"/>
      <c r="E294" s="386"/>
      <c r="F294" s="387"/>
      <c r="G294" s="388"/>
    </row>
    <row r="295" spans="1:7" x14ac:dyDescent="0.25">
      <c r="A295" s="150"/>
      <c r="B295" s="112"/>
      <c r="C295" s="113"/>
      <c r="D295" s="112"/>
      <c r="E295" s="56"/>
      <c r="F295" s="54"/>
      <c r="G295" s="145"/>
    </row>
    <row r="296" spans="1:7" x14ac:dyDescent="0.25">
      <c r="A296" s="383"/>
      <c r="B296" s="162"/>
      <c r="C296" s="384"/>
      <c r="D296" s="385"/>
      <c r="E296" s="386"/>
      <c r="F296" s="387"/>
      <c r="G296" s="388"/>
    </row>
    <row r="297" spans="1:7" x14ac:dyDescent="0.25">
      <c r="A297" s="150"/>
      <c r="B297" s="112"/>
      <c r="C297" s="113"/>
      <c r="D297" s="112"/>
      <c r="E297" s="56"/>
      <c r="F297" s="54"/>
      <c r="G297" s="145"/>
    </row>
    <row r="298" spans="1:7" x14ac:dyDescent="0.25">
      <c r="A298" s="383"/>
      <c r="B298" s="162"/>
      <c r="C298" s="384"/>
      <c r="D298" s="385"/>
      <c r="E298" s="386"/>
      <c r="F298" s="387"/>
      <c r="G298" s="388"/>
    </row>
    <row r="299" spans="1:7" ht="28.5" customHeight="1" x14ac:dyDescent="0.25">
      <c r="A299" s="538" t="s">
        <v>609</v>
      </c>
      <c r="B299" s="538"/>
      <c r="C299" s="538"/>
      <c r="D299" s="538"/>
      <c r="E299" s="538"/>
      <c r="F299" s="538"/>
      <c r="G299" s="158"/>
    </row>
    <row r="300" spans="1:7" ht="28.5" customHeight="1" x14ac:dyDescent="0.25">
      <c r="A300" s="538" t="s">
        <v>610</v>
      </c>
      <c r="B300" s="538"/>
      <c r="C300" s="538"/>
      <c r="D300" s="538"/>
      <c r="E300" s="538"/>
      <c r="F300" s="538"/>
      <c r="G300" s="158"/>
    </row>
    <row r="301" spans="1:7" x14ac:dyDescent="0.25">
      <c r="A301" s="383"/>
      <c r="B301" s="162"/>
      <c r="C301" s="384"/>
      <c r="D301" s="385"/>
      <c r="E301" s="386"/>
      <c r="F301" s="387"/>
      <c r="G301" s="388"/>
    </row>
    <row r="302" spans="1:7" ht="24" x14ac:dyDescent="0.25">
      <c r="A302" s="293" t="s">
        <v>1219</v>
      </c>
      <c r="B302" s="207" t="s">
        <v>3</v>
      </c>
      <c r="C302" s="271" t="s">
        <v>4</v>
      </c>
      <c r="D302" s="210"/>
      <c r="E302" s="241"/>
      <c r="F302" s="242"/>
      <c r="G302" s="255"/>
    </row>
    <row r="303" spans="1:7" x14ac:dyDescent="0.25">
      <c r="A303" s="424"/>
      <c r="B303" s="240"/>
      <c r="C303" s="254"/>
      <c r="D303" s="251"/>
      <c r="E303" s="236"/>
      <c r="F303" s="453"/>
      <c r="G303" s="252"/>
    </row>
    <row r="304" spans="1:7" x14ac:dyDescent="0.25">
      <c r="A304" s="249"/>
      <c r="B304" s="210"/>
      <c r="C304" s="220" t="s">
        <v>413</v>
      </c>
      <c r="D304" s="210"/>
      <c r="E304" s="241"/>
      <c r="F304" s="242"/>
      <c r="G304" s="255"/>
    </row>
    <row r="305" spans="1:7" x14ac:dyDescent="0.25">
      <c r="A305" s="424"/>
      <c r="B305" s="240"/>
      <c r="C305" s="254"/>
      <c r="D305" s="251"/>
      <c r="E305" s="236"/>
      <c r="F305" s="453"/>
      <c r="G305" s="252"/>
    </row>
    <row r="306" spans="1:7" ht="36" x14ac:dyDescent="0.25">
      <c r="A306" s="249"/>
      <c r="B306" s="210"/>
      <c r="C306" s="119" t="s">
        <v>454</v>
      </c>
      <c r="D306" s="210"/>
      <c r="E306" s="241"/>
      <c r="F306" s="242"/>
      <c r="G306" s="255"/>
    </row>
    <row r="307" spans="1:7" x14ac:dyDescent="0.25">
      <c r="A307" s="424"/>
      <c r="B307" s="240"/>
      <c r="C307" s="254"/>
      <c r="D307" s="251"/>
      <c r="E307" s="236"/>
      <c r="F307" s="453"/>
      <c r="G307" s="252"/>
    </row>
    <row r="308" spans="1:7" ht="24" x14ac:dyDescent="0.25">
      <c r="A308" s="249"/>
      <c r="B308" s="210"/>
      <c r="C308" s="119" t="s">
        <v>823</v>
      </c>
      <c r="D308" s="210"/>
      <c r="E308" s="241"/>
      <c r="F308" s="242"/>
      <c r="G308" s="255"/>
    </row>
    <row r="309" spans="1:7" x14ac:dyDescent="0.25">
      <c r="A309" s="424"/>
      <c r="B309" s="240"/>
      <c r="C309" s="254"/>
      <c r="D309" s="251"/>
      <c r="E309" s="236"/>
      <c r="F309" s="453"/>
      <c r="G309" s="252"/>
    </row>
    <row r="310" spans="1:7" x14ac:dyDescent="0.25">
      <c r="A310" s="249"/>
      <c r="B310" s="210"/>
      <c r="C310" s="220" t="s">
        <v>414</v>
      </c>
      <c r="D310" s="210"/>
      <c r="E310" s="241"/>
      <c r="F310" s="242"/>
      <c r="G310" s="255"/>
    </row>
    <row r="311" spans="1:7" x14ac:dyDescent="0.25">
      <c r="A311" s="424"/>
      <c r="B311" s="240"/>
      <c r="C311" s="254"/>
      <c r="D311" s="251"/>
      <c r="E311" s="236"/>
      <c r="F311" s="453"/>
      <c r="G311" s="252"/>
    </row>
    <row r="312" spans="1:7" ht="48" x14ac:dyDescent="0.25">
      <c r="A312" s="249"/>
      <c r="B312" s="210"/>
      <c r="C312" s="119" t="s">
        <v>895</v>
      </c>
      <c r="D312" s="210"/>
      <c r="E312" s="241"/>
      <c r="F312" s="242"/>
      <c r="G312" s="255"/>
    </row>
    <row r="313" spans="1:7" x14ac:dyDescent="0.25">
      <c r="A313" s="424"/>
      <c r="B313" s="240"/>
      <c r="C313" s="254"/>
      <c r="D313" s="251"/>
      <c r="E313" s="236"/>
      <c r="F313" s="453"/>
      <c r="G313" s="252"/>
    </row>
    <row r="314" spans="1:7" ht="24" x14ac:dyDescent="0.25">
      <c r="A314" s="249"/>
      <c r="B314" s="207" t="s">
        <v>13</v>
      </c>
      <c r="C314" s="38" t="s">
        <v>412</v>
      </c>
      <c r="D314" s="210"/>
      <c r="E314" s="241"/>
      <c r="F314" s="242"/>
      <c r="G314" s="255"/>
    </row>
    <row r="315" spans="1:7" x14ac:dyDescent="0.25">
      <c r="A315" s="424"/>
      <c r="B315" s="240"/>
      <c r="C315" s="254"/>
      <c r="D315" s="251"/>
      <c r="E315" s="236"/>
      <c r="F315" s="453"/>
      <c r="G315" s="252"/>
    </row>
    <row r="316" spans="1:7" ht="24" x14ac:dyDescent="0.25">
      <c r="A316" s="249" t="s">
        <v>1220</v>
      </c>
      <c r="B316" s="210"/>
      <c r="C316" s="119" t="s">
        <v>896</v>
      </c>
      <c r="D316" s="210" t="s">
        <v>8</v>
      </c>
      <c r="E316" s="241">
        <v>2</v>
      </c>
      <c r="F316" s="242"/>
      <c r="G316" s="255"/>
    </row>
    <row r="317" spans="1:7" x14ac:dyDescent="0.25">
      <c r="A317" s="424"/>
      <c r="B317" s="240"/>
      <c r="C317" s="254"/>
      <c r="D317" s="251"/>
      <c r="E317" s="236"/>
      <c r="F317" s="453"/>
      <c r="G317" s="252"/>
    </row>
    <row r="318" spans="1:7" ht="24" x14ac:dyDescent="0.25">
      <c r="A318" s="249" t="s">
        <v>1221</v>
      </c>
      <c r="B318" s="210"/>
      <c r="C318" s="119" t="s">
        <v>897</v>
      </c>
      <c r="D318" s="210" t="s">
        <v>8</v>
      </c>
      <c r="E318" s="241">
        <v>2</v>
      </c>
      <c r="F318" s="242"/>
      <c r="G318" s="255"/>
    </row>
    <row r="319" spans="1:7" x14ac:dyDescent="0.25">
      <c r="A319" s="424"/>
      <c r="B319" s="240"/>
      <c r="C319" s="254"/>
      <c r="D319" s="251"/>
      <c r="E319" s="236"/>
      <c r="F319" s="453"/>
      <c r="G319" s="252"/>
    </row>
    <row r="320" spans="1:7" ht="24" x14ac:dyDescent="0.25">
      <c r="A320" s="249" t="s">
        <v>1222</v>
      </c>
      <c r="B320" s="210"/>
      <c r="C320" s="119" t="s">
        <v>899</v>
      </c>
      <c r="D320" s="210" t="s">
        <v>8</v>
      </c>
      <c r="E320" s="241">
        <v>2</v>
      </c>
      <c r="F320" s="242"/>
      <c r="G320" s="255"/>
    </row>
    <row r="321" spans="1:7" x14ac:dyDescent="0.25">
      <c r="A321" s="424"/>
      <c r="B321" s="240"/>
      <c r="C321" s="254"/>
      <c r="D321" s="251"/>
      <c r="E321" s="236"/>
      <c r="F321" s="453"/>
      <c r="G321" s="252"/>
    </row>
    <row r="322" spans="1:7" ht="36" x14ac:dyDescent="0.25">
      <c r="A322" s="249" t="s">
        <v>1223</v>
      </c>
      <c r="B322" s="210"/>
      <c r="C322" s="119" t="s">
        <v>898</v>
      </c>
      <c r="D322" s="210" t="s">
        <v>8</v>
      </c>
      <c r="E322" s="241">
        <v>2</v>
      </c>
      <c r="F322" s="242"/>
      <c r="G322" s="255"/>
    </row>
    <row r="323" spans="1:7" x14ac:dyDescent="0.25">
      <c r="A323" s="424"/>
      <c r="B323" s="240"/>
      <c r="C323" s="254"/>
      <c r="D323" s="251"/>
      <c r="E323" s="236"/>
      <c r="F323" s="453"/>
      <c r="G323" s="252"/>
    </row>
    <row r="324" spans="1:7" ht="48" x14ac:dyDescent="0.25">
      <c r="A324" s="249" t="s">
        <v>1224</v>
      </c>
      <c r="B324" s="142"/>
      <c r="C324" s="233" t="s">
        <v>888</v>
      </c>
      <c r="D324" s="210" t="s">
        <v>8</v>
      </c>
      <c r="E324" s="186">
        <v>1</v>
      </c>
      <c r="F324" s="242"/>
      <c r="G324" s="255"/>
    </row>
    <row r="325" spans="1:7" x14ac:dyDescent="0.25">
      <c r="A325" s="383"/>
      <c r="B325" s="162"/>
      <c r="C325" s="384"/>
      <c r="D325" s="385"/>
      <c r="E325" s="386"/>
      <c r="F325" s="387"/>
      <c r="G325" s="388"/>
    </row>
    <row r="326" spans="1:7" x14ac:dyDescent="0.25">
      <c r="A326" s="150"/>
      <c r="B326" s="121"/>
      <c r="C326" s="116"/>
      <c r="D326" s="112"/>
      <c r="E326" s="57"/>
      <c r="F326" s="54"/>
      <c r="G326" s="145"/>
    </row>
    <row r="327" spans="1:7" x14ac:dyDescent="0.25">
      <c r="A327" s="383"/>
      <c r="B327" s="162"/>
      <c r="C327" s="384"/>
      <c r="D327" s="385"/>
      <c r="E327" s="386"/>
      <c r="F327" s="387"/>
      <c r="G327" s="388"/>
    </row>
    <row r="328" spans="1:7" x14ac:dyDescent="0.25">
      <c r="A328" s="150"/>
      <c r="B328" s="121"/>
      <c r="C328" s="116"/>
      <c r="D328" s="112"/>
      <c r="E328" s="57"/>
      <c r="F328" s="54"/>
      <c r="G328" s="145"/>
    </row>
    <row r="329" spans="1:7" x14ac:dyDescent="0.25">
      <c r="A329" s="383"/>
      <c r="B329" s="162"/>
      <c r="C329" s="384"/>
      <c r="D329" s="385"/>
      <c r="E329" s="386"/>
      <c r="F329" s="387"/>
      <c r="G329" s="388"/>
    </row>
    <row r="330" spans="1:7" x14ac:dyDescent="0.25">
      <c r="A330" s="150"/>
      <c r="B330" s="121"/>
      <c r="C330" s="116"/>
      <c r="D330" s="112"/>
      <c r="E330" s="57"/>
      <c r="F330" s="54"/>
      <c r="G330" s="145"/>
    </row>
    <row r="331" spans="1:7" x14ac:dyDescent="0.25">
      <c r="A331" s="383"/>
      <c r="B331" s="162"/>
      <c r="C331" s="384"/>
      <c r="D331" s="385"/>
      <c r="E331" s="386"/>
      <c r="F331" s="387"/>
      <c r="G331" s="388"/>
    </row>
    <row r="332" spans="1:7" x14ac:dyDescent="0.25">
      <c r="A332" s="150"/>
      <c r="B332" s="121"/>
      <c r="C332" s="116"/>
      <c r="D332" s="112"/>
      <c r="E332" s="57"/>
      <c r="F332" s="54"/>
      <c r="G332" s="145"/>
    </row>
    <row r="333" spans="1:7" x14ac:dyDescent="0.25">
      <c r="A333" s="383"/>
      <c r="B333" s="162"/>
      <c r="C333" s="384"/>
      <c r="D333" s="385"/>
      <c r="E333" s="386"/>
      <c r="F333" s="387"/>
      <c r="G333" s="388"/>
    </row>
    <row r="334" spans="1:7" x14ac:dyDescent="0.25">
      <c r="A334" s="150"/>
      <c r="B334" s="121"/>
      <c r="C334" s="116"/>
      <c r="D334" s="112"/>
      <c r="E334" s="57"/>
      <c r="F334" s="54"/>
      <c r="G334" s="145"/>
    </row>
    <row r="335" spans="1:7" x14ac:dyDescent="0.25">
      <c r="A335" s="383"/>
      <c r="B335" s="162"/>
      <c r="C335" s="384"/>
      <c r="D335" s="385"/>
      <c r="E335" s="386"/>
      <c r="F335" s="387"/>
      <c r="G335" s="388"/>
    </row>
    <row r="336" spans="1:7" x14ac:dyDescent="0.25">
      <c r="A336" s="34"/>
      <c r="B336" s="121"/>
      <c r="C336" s="113"/>
      <c r="D336" s="112"/>
      <c r="E336" s="69"/>
      <c r="F336" s="146"/>
      <c r="G336" s="145"/>
    </row>
    <row r="337" spans="1:7" x14ac:dyDescent="0.25">
      <c r="A337" s="383"/>
      <c r="B337" s="162"/>
      <c r="C337" s="384"/>
      <c r="D337" s="385"/>
      <c r="E337" s="386"/>
      <c r="F337" s="387"/>
      <c r="G337" s="388"/>
    </row>
    <row r="338" spans="1:7" x14ac:dyDescent="0.25">
      <c r="A338" s="143"/>
      <c r="B338" s="169"/>
      <c r="C338" s="168"/>
      <c r="D338" s="170"/>
      <c r="E338" s="83"/>
      <c r="F338" s="64"/>
      <c r="G338" s="171"/>
    </row>
    <row r="339" spans="1:7" ht="28.5" customHeight="1" x14ac:dyDescent="0.25">
      <c r="A339" s="526" t="s">
        <v>900</v>
      </c>
      <c r="B339" s="526"/>
      <c r="C339" s="526"/>
      <c r="D339" s="526"/>
      <c r="E339" s="526"/>
      <c r="F339" s="526"/>
      <c r="G339" s="188"/>
    </row>
    <row r="340" spans="1:7" x14ac:dyDescent="0.25">
      <c r="A340" s="263"/>
      <c r="B340" s="264"/>
      <c r="C340" s="265"/>
      <c r="D340" s="264"/>
      <c r="E340" s="266"/>
      <c r="F340" s="267"/>
      <c r="G340" s="265"/>
    </row>
    <row r="341" spans="1:7" x14ac:dyDescent="0.25">
      <c r="A341" s="151" t="s">
        <v>134</v>
      </c>
      <c r="B341" s="121"/>
      <c r="C341" s="189" t="s">
        <v>1000</v>
      </c>
      <c r="D341" s="121"/>
      <c r="E341" s="165"/>
      <c r="F341" s="149"/>
      <c r="G341" s="117"/>
    </row>
    <row r="342" spans="1:7" x14ac:dyDescent="0.25">
      <c r="A342" s="259"/>
      <c r="B342" s="162"/>
      <c r="C342" s="163"/>
      <c r="D342" s="162"/>
      <c r="E342" s="260"/>
      <c r="F342" s="261"/>
      <c r="G342" s="163"/>
    </row>
    <row r="343" spans="1:7" ht="24" x14ac:dyDescent="0.25">
      <c r="A343" s="84"/>
      <c r="B343" s="5" t="s">
        <v>244</v>
      </c>
      <c r="C343" s="190" t="s">
        <v>9</v>
      </c>
      <c r="D343" s="121"/>
      <c r="E343" s="165"/>
      <c r="F343" s="149"/>
      <c r="G343" s="117"/>
    </row>
    <row r="344" spans="1:7" x14ac:dyDescent="0.25">
      <c r="A344" s="259"/>
      <c r="B344" s="162"/>
      <c r="C344" s="163"/>
      <c r="D344" s="162"/>
      <c r="E344" s="260"/>
      <c r="F344" s="261"/>
      <c r="G344" s="163"/>
    </row>
    <row r="345" spans="1:7" ht="36" x14ac:dyDescent="0.25">
      <c r="A345" s="150" t="s">
        <v>1009</v>
      </c>
      <c r="B345" s="176" t="s">
        <v>83</v>
      </c>
      <c r="C345" s="175" t="s">
        <v>1007</v>
      </c>
      <c r="D345" s="121" t="s">
        <v>88</v>
      </c>
      <c r="E345" s="184">
        <f>ROUND(40*5.9*0.15,1)</f>
        <v>35.4</v>
      </c>
      <c r="F345" s="149"/>
      <c r="G345" s="145"/>
    </row>
    <row r="346" spans="1:7" x14ac:dyDescent="0.25">
      <c r="A346" s="259"/>
      <c r="B346" s="162"/>
      <c r="C346" s="163"/>
      <c r="D346" s="162"/>
      <c r="E346" s="260"/>
      <c r="F346" s="261"/>
      <c r="G346" s="163"/>
    </row>
    <row r="347" spans="1:7" ht="24" x14ac:dyDescent="0.25">
      <c r="A347" s="150"/>
      <c r="B347" s="177" t="s">
        <v>321</v>
      </c>
      <c r="C347" s="172" t="s">
        <v>320</v>
      </c>
      <c r="D347" s="176"/>
      <c r="E347" s="184"/>
      <c r="F347" s="193"/>
      <c r="G347" s="173"/>
    </row>
    <row r="348" spans="1:7" x14ac:dyDescent="0.25">
      <c r="A348" s="259"/>
      <c r="B348" s="162"/>
      <c r="C348" s="163"/>
      <c r="D348" s="162"/>
      <c r="E348" s="260"/>
      <c r="F348" s="261"/>
      <c r="G348" s="163"/>
    </row>
    <row r="349" spans="1:7" ht="24" x14ac:dyDescent="0.25">
      <c r="A349" s="150" t="s">
        <v>1010</v>
      </c>
      <c r="B349" s="176" t="s">
        <v>18</v>
      </c>
      <c r="C349" s="175" t="s">
        <v>922</v>
      </c>
      <c r="D349" s="121" t="s">
        <v>88</v>
      </c>
      <c r="E349" s="184">
        <f>ROUND(40*5.6*0.15,1)</f>
        <v>33.6</v>
      </c>
      <c r="F349" s="194"/>
      <c r="G349" s="145"/>
    </row>
    <row r="350" spans="1:7" x14ac:dyDescent="0.25">
      <c r="A350" s="259"/>
      <c r="B350" s="162"/>
      <c r="C350" s="163"/>
      <c r="D350" s="162"/>
      <c r="E350" s="260"/>
      <c r="F350" s="261"/>
      <c r="G350" s="163"/>
    </row>
    <row r="351" spans="1:7" ht="60" x14ac:dyDescent="0.25">
      <c r="A351" s="150" t="s">
        <v>1011</v>
      </c>
      <c r="B351" s="176" t="s">
        <v>10</v>
      </c>
      <c r="C351" s="175" t="s">
        <v>1001</v>
      </c>
      <c r="D351" s="121" t="s">
        <v>88</v>
      </c>
      <c r="E351" s="184">
        <f>E349</f>
        <v>33.6</v>
      </c>
      <c r="F351" s="194"/>
      <c r="G351" s="145"/>
    </row>
    <row r="352" spans="1:7" x14ac:dyDescent="0.25">
      <c r="A352" s="259"/>
      <c r="B352" s="162"/>
      <c r="C352" s="163"/>
      <c r="D352" s="162"/>
      <c r="E352" s="260"/>
      <c r="F352" s="261"/>
      <c r="G352" s="163"/>
    </row>
    <row r="353" spans="1:7" ht="24" x14ac:dyDescent="0.25">
      <c r="A353" s="150" t="s">
        <v>2152</v>
      </c>
      <c r="B353" s="176" t="s">
        <v>924</v>
      </c>
      <c r="C353" s="175" t="s">
        <v>1002</v>
      </c>
      <c r="D353" s="176" t="s">
        <v>92</v>
      </c>
      <c r="E353" s="184">
        <f>ROUND(0.1111111*E351,1)</f>
        <v>3.7</v>
      </c>
      <c r="F353" s="194"/>
      <c r="G353" s="145"/>
    </row>
    <row r="354" spans="1:7" x14ac:dyDescent="0.25">
      <c r="A354" s="259"/>
      <c r="B354" s="178"/>
      <c r="C354" s="174"/>
      <c r="D354" s="178"/>
      <c r="E354" s="185"/>
      <c r="F354" s="195"/>
      <c r="G354" s="174"/>
    </row>
    <row r="355" spans="1:7" ht="24" x14ac:dyDescent="0.25">
      <c r="A355" s="84"/>
      <c r="B355" s="177" t="s">
        <v>318</v>
      </c>
      <c r="C355" s="172" t="s">
        <v>1003</v>
      </c>
      <c r="D355" s="121"/>
      <c r="E355" s="117"/>
      <c r="F355" s="121"/>
      <c r="G355" s="117"/>
    </row>
    <row r="356" spans="1:7" x14ac:dyDescent="0.25">
      <c r="A356" s="259"/>
      <c r="B356" s="162"/>
      <c r="C356" s="163"/>
      <c r="D356" s="162"/>
      <c r="E356" s="260"/>
      <c r="F356" s="261"/>
      <c r="G356" s="163"/>
    </row>
    <row r="357" spans="1:7" ht="48" x14ac:dyDescent="0.25">
      <c r="A357" s="150" t="s">
        <v>2153</v>
      </c>
      <c r="B357" s="176" t="s">
        <v>18</v>
      </c>
      <c r="C357" s="175" t="s">
        <v>1004</v>
      </c>
      <c r="D357" s="121" t="s">
        <v>88</v>
      </c>
      <c r="E357" s="184">
        <f>ROUND(40*5.3*0.15,1)</f>
        <v>31.8</v>
      </c>
      <c r="F357" s="194"/>
      <c r="G357" s="145"/>
    </row>
    <row r="358" spans="1:7" x14ac:dyDescent="0.25">
      <c r="A358" s="259"/>
      <c r="B358" s="162"/>
      <c r="C358" s="163"/>
      <c r="D358" s="162"/>
      <c r="E358" s="260"/>
      <c r="F358" s="261"/>
      <c r="G358" s="163"/>
    </row>
    <row r="359" spans="1:7" ht="24" x14ac:dyDescent="0.25">
      <c r="A359" s="150"/>
      <c r="B359" s="177" t="s">
        <v>315</v>
      </c>
      <c r="C359" s="172" t="s">
        <v>1005</v>
      </c>
      <c r="D359" s="121"/>
      <c r="E359" s="165"/>
      <c r="F359" s="149"/>
      <c r="G359" s="117"/>
    </row>
    <row r="360" spans="1:7" x14ac:dyDescent="0.25">
      <c r="A360" s="259"/>
      <c r="B360" s="162"/>
      <c r="C360" s="163"/>
      <c r="D360" s="162"/>
      <c r="E360" s="260"/>
      <c r="F360" s="261"/>
      <c r="G360" s="163"/>
    </row>
    <row r="361" spans="1:7" ht="25.5" x14ac:dyDescent="0.25">
      <c r="A361" s="150" t="s">
        <v>2154</v>
      </c>
      <c r="B361" s="112" t="s">
        <v>2157</v>
      </c>
      <c r="C361" s="175" t="s">
        <v>929</v>
      </c>
      <c r="D361" s="112" t="s">
        <v>87</v>
      </c>
      <c r="E361" s="184">
        <f>40*5</f>
        <v>200</v>
      </c>
      <c r="F361" s="194"/>
      <c r="G361" s="145"/>
    </row>
    <row r="362" spans="1:7" x14ac:dyDescent="0.25">
      <c r="A362" s="259"/>
      <c r="B362" s="162"/>
      <c r="C362" s="163"/>
      <c r="D362" s="162"/>
      <c r="E362" s="260"/>
      <c r="F362" s="261"/>
      <c r="G362" s="163"/>
    </row>
    <row r="363" spans="1:7" ht="60" x14ac:dyDescent="0.25">
      <c r="A363" s="150" t="s">
        <v>2155</v>
      </c>
      <c r="B363" s="176" t="s">
        <v>2158</v>
      </c>
      <c r="C363" s="175" t="s">
        <v>1006</v>
      </c>
      <c r="D363" s="112" t="s">
        <v>87</v>
      </c>
      <c r="E363" s="184">
        <v>200</v>
      </c>
      <c r="F363" s="194"/>
      <c r="G363" s="145"/>
    </row>
    <row r="364" spans="1:7" x14ac:dyDescent="0.25">
      <c r="A364" s="259"/>
      <c r="B364" s="162"/>
      <c r="C364" s="163"/>
      <c r="D364" s="162"/>
      <c r="E364" s="260"/>
      <c r="F364" s="261"/>
      <c r="G364" s="163"/>
    </row>
    <row r="365" spans="1:7" ht="24" x14ac:dyDescent="0.25">
      <c r="A365" s="84"/>
      <c r="B365" s="177" t="s">
        <v>930</v>
      </c>
      <c r="C365" s="190" t="s">
        <v>1008</v>
      </c>
      <c r="D365" s="121"/>
      <c r="E365" s="165"/>
      <c r="F365" s="149"/>
      <c r="G365" s="117"/>
    </row>
    <row r="366" spans="1:7" x14ac:dyDescent="0.25">
      <c r="A366" s="259"/>
      <c r="B366" s="195"/>
      <c r="C366" s="163"/>
      <c r="D366" s="162"/>
      <c r="E366" s="260"/>
      <c r="F366" s="261"/>
      <c r="G366" s="163"/>
    </row>
    <row r="367" spans="1:7" ht="36" x14ac:dyDescent="0.25">
      <c r="A367" s="150" t="s">
        <v>2156</v>
      </c>
      <c r="B367" s="176" t="s">
        <v>7</v>
      </c>
      <c r="C367" s="175" t="s">
        <v>2122</v>
      </c>
      <c r="D367" s="176" t="s">
        <v>6</v>
      </c>
      <c r="E367" s="184">
        <v>80</v>
      </c>
      <c r="F367" s="194"/>
      <c r="G367" s="145"/>
    </row>
    <row r="368" spans="1:7" x14ac:dyDescent="0.25">
      <c r="A368" s="259"/>
      <c r="B368" s="162"/>
      <c r="C368" s="163"/>
      <c r="D368" s="162"/>
      <c r="E368" s="260"/>
      <c r="F368" s="261"/>
      <c r="G368" s="163"/>
    </row>
    <row r="369" spans="1:7" x14ac:dyDescent="0.25">
      <c r="A369" s="150"/>
      <c r="B369" s="121"/>
      <c r="C369" s="117"/>
      <c r="D369" s="121"/>
      <c r="E369" s="165"/>
      <c r="F369" s="149"/>
      <c r="G369" s="117"/>
    </row>
    <row r="370" spans="1:7" x14ac:dyDescent="0.25">
      <c r="A370" s="259"/>
      <c r="B370" s="162"/>
      <c r="C370" s="163"/>
      <c r="D370" s="162"/>
      <c r="E370" s="260"/>
      <c r="F370" s="261"/>
      <c r="G370" s="163"/>
    </row>
    <row r="371" spans="1:7" x14ac:dyDescent="0.25">
      <c r="A371" s="150"/>
      <c r="B371" s="121"/>
      <c r="C371" s="117"/>
      <c r="D371" s="121"/>
      <c r="E371" s="165"/>
      <c r="F371" s="149"/>
      <c r="G371" s="117"/>
    </row>
    <row r="372" spans="1:7" x14ac:dyDescent="0.25">
      <c r="A372" s="259"/>
      <c r="B372" s="162"/>
      <c r="C372" s="163"/>
      <c r="D372" s="162"/>
      <c r="E372" s="260"/>
      <c r="F372" s="261"/>
      <c r="G372" s="163"/>
    </row>
    <row r="373" spans="1:7" ht="28.5" customHeight="1" x14ac:dyDescent="0.25">
      <c r="A373" s="526" t="s">
        <v>1019</v>
      </c>
      <c r="B373" s="526"/>
      <c r="C373" s="526"/>
      <c r="D373" s="526"/>
      <c r="E373" s="526"/>
      <c r="F373" s="526"/>
      <c r="G373" s="188"/>
    </row>
    <row r="374" spans="1:7" x14ac:dyDescent="0.25">
      <c r="A374" s="259"/>
      <c r="B374" s="162"/>
      <c r="C374" s="163"/>
      <c r="D374" s="162"/>
      <c r="E374" s="260"/>
      <c r="F374" s="261"/>
      <c r="G374" s="163"/>
    </row>
    <row r="375" spans="1:7" ht="24" x14ac:dyDescent="0.25">
      <c r="A375" s="312" t="s">
        <v>247</v>
      </c>
      <c r="B375" s="142"/>
      <c r="C375" s="272" t="s">
        <v>1024</v>
      </c>
      <c r="D375" s="142"/>
      <c r="E375" s="278"/>
      <c r="F375" s="262"/>
      <c r="G375" s="235"/>
    </row>
    <row r="376" spans="1:7" x14ac:dyDescent="0.25">
      <c r="A376" s="454"/>
      <c r="B376" s="240"/>
      <c r="C376" s="239"/>
      <c r="D376" s="240"/>
      <c r="E376" s="455"/>
      <c r="F376" s="456"/>
      <c r="G376" s="239"/>
    </row>
    <row r="377" spans="1:7" ht="120" x14ac:dyDescent="0.25">
      <c r="A377" s="312"/>
      <c r="B377" s="142"/>
      <c r="C377" s="233" t="s">
        <v>1031</v>
      </c>
      <c r="D377" s="142"/>
      <c r="E377" s="278"/>
      <c r="F377" s="262"/>
      <c r="G377" s="235"/>
    </row>
    <row r="378" spans="1:7" x14ac:dyDescent="0.25">
      <c r="A378" s="454"/>
      <c r="B378" s="240"/>
      <c r="C378" s="239"/>
      <c r="D378" s="240"/>
      <c r="E378" s="455"/>
      <c r="F378" s="456"/>
      <c r="G378" s="239"/>
    </row>
    <row r="379" spans="1:7" ht="24" x14ac:dyDescent="0.25">
      <c r="A379" s="293" t="s">
        <v>1225</v>
      </c>
      <c r="B379" s="153" t="s">
        <v>244</v>
      </c>
      <c r="C379" s="228" t="s">
        <v>9</v>
      </c>
      <c r="D379" s="229"/>
      <c r="E379" s="186"/>
      <c r="F379" s="230"/>
      <c r="G379" s="222"/>
    </row>
    <row r="380" spans="1:7" x14ac:dyDescent="0.25">
      <c r="A380" s="454"/>
      <c r="B380" s="240"/>
      <c r="C380" s="239"/>
      <c r="D380" s="240"/>
      <c r="E380" s="455"/>
      <c r="F380" s="456"/>
      <c r="G380" s="239"/>
    </row>
    <row r="381" spans="1:7" ht="13.5" x14ac:dyDescent="0.25">
      <c r="A381" s="249" t="s">
        <v>1226</v>
      </c>
      <c r="B381" s="51" t="s">
        <v>1025</v>
      </c>
      <c r="C381" s="50" t="s">
        <v>1026</v>
      </c>
      <c r="D381" s="210" t="s">
        <v>87</v>
      </c>
      <c r="E381" s="186">
        <f>+(5*5)+(3*3)+(3*3)</f>
        <v>43</v>
      </c>
      <c r="F381" s="230"/>
      <c r="G381" s="232"/>
    </row>
    <row r="382" spans="1:7" x14ac:dyDescent="0.25">
      <c r="A382" s="454"/>
      <c r="B382" s="240"/>
      <c r="C382" s="239"/>
      <c r="D382" s="240"/>
      <c r="E382" s="455"/>
      <c r="F382" s="456"/>
      <c r="G382" s="239"/>
    </row>
    <row r="383" spans="1:7" ht="62.25" customHeight="1" x14ac:dyDescent="0.25">
      <c r="A383" s="249" t="s">
        <v>1227</v>
      </c>
      <c r="B383" s="51" t="s">
        <v>18</v>
      </c>
      <c r="C383" s="50" t="s">
        <v>1027</v>
      </c>
      <c r="D383" s="142" t="s">
        <v>88</v>
      </c>
      <c r="E383" s="186">
        <f>+ROUND((16.8*0.8)+(10.4*0.8*2),1)</f>
        <v>30.1</v>
      </c>
      <c r="F383" s="230"/>
      <c r="G383" s="232"/>
    </row>
    <row r="384" spans="1:7" x14ac:dyDescent="0.25">
      <c r="A384" s="454"/>
      <c r="B384" s="240"/>
      <c r="C384" s="239"/>
      <c r="D384" s="240"/>
      <c r="E384" s="455"/>
      <c r="F384" s="456"/>
      <c r="G384" s="239"/>
    </row>
    <row r="385" spans="1:7" x14ac:dyDescent="0.25">
      <c r="A385" s="249"/>
      <c r="B385" s="142"/>
      <c r="C385" s="235" t="s">
        <v>2159</v>
      </c>
      <c r="D385" s="142"/>
      <c r="E385" s="211"/>
      <c r="F385" s="270"/>
      <c r="G385" s="207"/>
    </row>
    <row r="386" spans="1:7" x14ac:dyDescent="0.25">
      <c r="A386" s="454"/>
      <c r="B386" s="240"/>
      <c r="C386" s="239"/>
      <c r="D386" s="240"/>
      <c r="E386" s="455"/>
      <c r="F386" s="456"/>
      <c r="G386" s="239"/>
    </row>
    <row r="387" spans="1:7" ht="13.5" x14ac:dyDescent="0.25">
      <c r="A387" s="249" t="s">
        <v>1228</v>
      </c>
      <c r="B387" s="142"/>
      <c r="C387" s="235" t="s">
        <v>1028</v>
      </c>
      <c r="D387" s="142" t="s">
        <v>88</v>
      </c>
      <c r="E387" s="211">
        <f>+ROUND(45%*E383,1)</f>
        <v>13.5</v>
      </c>
      <c r="F387" s="274"/>
      <c r="G387" s="255"/>
    </row>
    <row r="388" spans="1:7" x14ac:dyDescent="0.25">
      <c r="A388" s="454"/>
      <c r="B388" s="240"/>
      <c r="C388" s="239"/>
      <c r="D388" s="240"/>
      <c r="E388" s="455"/>
      <c r="F388" s="456"/>
      <c r="G388" s="239"/>
    </row>
    <row r="389" spans="1:7" ht="13.5" x14ac:dyDescent="0.25">
      <c r="A389" s="249" t="s">
        <v>1229</v>
      </c>
      <c r="B389" s="142"/>
      <c r="C389" s="235" t="s">
        <v>1029</v>
      </c>
      <c r="D389" s="142" t="s">
        <v>88</v>
      </c>
      <c r="E389" s="211">
        <f>+ROUND(5%*E383,1)</f>
        <v>1.5</v>
      </c>
      <c r="F389" s="274"/>
      <c r="G389" s="255"/>
    </row>
    <row r="390" spans="1:7" x14ac:dyDescent="0.25">
      <c r="A390" s="454"/>
      <c r="B390" s="240"/>
      <c r="C390" s="239"/>
      <c r="D390" s="240"/>
      <c r="E390" s="455"/>
      <c r="F390" s="456"/>
      <c r="G390" s="239"/>
    </row>
    <row r="391" spans="1:7" ht="25.5" customHeight="1" x14ac:dyDescent="0.25">
      <c r="A391" s="249" t="s">
        <v>1230</v>
      </c>
      <c r="B391" s="51" t="s">
        <v>83</v>
      </c>
      <c r="C391" s="119" t="s">
        <v>562</v>
      </c>
      <c r="D391" s="142" t="s">
        <v>88</v>
      </c>
      <c r="E391" s="211">
        <f>ROUND(3*3*0.3,1)</f>
        <v>2.7</v>
      </c>
      <c r="F391" s="274"/>
      <c r="G391" s="255"/>
    </row>
    <row r="392" spans="1:7" x14ac:dyDescent="0.25">
      <c r="A392" s="454"/>
      <c r="B392" s="240"/>
      <c r="C392" s="239"/>
      <c r="D392" s="240"/>
      <c r="E392" s="455"/>
      <c r="F392" s="456"/>
      <c r="G392" s="239"/>
    </row>
    <row r="393" spans="1:7" ht="24" x14ac:dyDescent="0.25">
      <c r="A393" s="249" t="s">
        <v>1231</v>
      </c>
      <c r="B393" s="51" t="s">
        <v>563</v>
      </c>
      <c r="C393" s="50" t="s">
        <v>564</v>
      </c>
      <c r="D393" s="142" t="s">
        <v>88</v>
      </c>
      <c r="E393" s="186">
        <f>ROUND((2.5*2.5*0.15)+(3*3*0.3),1)</f>
        <v>3.6</v>
      </c>
      <c r="F393" s="230"/>
      <c r="G393" s="255"/>
    </row>
    <row r="394" spans="1:7" x14ac:dyDescent="0.25">
      <c r="A394" s="454"/>
      <c r="B394" s="240"/>
      <c r="C394" s="239"/>
      <c r="D394" s="240"/>
      <c r="E394" s="455"/>
      <c r="F394" s="456"/>
      <c r="G394" s="239"/>
    </row>
    <row r="395" spans="1:7" ht="24" x14ac:dyDescent="0.25">
      <c r="A395" s="293" t="s">
        <v>1232</v>
      </c>
      <c r="B395" s="138" t="s">
        <v>148</v>
      </c>
      <c r="C395" s="60" t="s">
        <v>422</v>
      </c>
      <c r="D395" s="142"/>
      <c r="E395" s="278"/>
      <c r="F395" s="262"/>
      <c r="G395" s="235"/>
    </row>
    <row r="396" spans="1:7" x14ac:dyDescent="0.25">
      <c r="A396" s="454"/>
      <c r="B396" s="240"/>
      <c r="C396" s="239"/>
      <c r="D396" s="240"/>
      <c r="E396" s="455"/>
      <c r="F396" s="456"/>
      <c r="G396" s="239"/>
    </row>
    <row r="397" spans="1:7" x14ac:dyDescent="0.25">
      <c r="A397" s="249"/>
      <c r="B397" s="206">
        <v>8.1999999999999993</v>
      </c>
      <c r="C397" s="218" t="s">
        <v>149</v>
      </c>
      <c r="D397" s="142"/>
      <c r="E397" s="278"/>
      <c r="F397" s="262"/>
      <c r="G397" s="235"/>
    </row>
    <row r="398" spans="1:7" x14ac:dyDescent="0.25">
      <c r="A398" s="454"/>
      <c r="B398" s="240"/>
      <c r="C398" s="239"/>
      <c r="D398" s="240"/>
      <c r="E398" s="455"/>
      <c r="F398" s="456"/>
      <c r="G398" s="239"/>
    </row>
    <row r="399" spans="1:7" x14ac:dyDescent="0.25">
      <c r="A399" s="249"/>
      <c r="B399" s="206"/>
      <c r="C399" s="245" t="s">
        <v>172</v>
      </c>
      <c r="D399" s="142"/>
      <c r="E399" s="278"/>
      <c r="F399" s="262"/>
      <c r="G399" s="235"/>
    </row>
    <row r="400" spans="1:7" x14ac:dyDescent="0.25">
      <c r="A400" s="454"/>
      <c r="B400" s="240"/>
      <c r="C400" s="239"/>
      <c r="D400" s="240"/>
      <c r="E400" s="455"/>
      <c r="F400" s="456"/>
      <c r="G400" s="239"/>
    </row>
    <row r="401" spans="1:7" ht="24" x14ac:dyDescent="0.25">
      <c r="A401" s="249" t="s">
        <v>1233</v>
      </c>
      <c r="B401" s="142" t="s">
        <v>5</v>
      </c>
      <c r="C401" s="233" t="s">
        <v>1030</v>
      </c>
      <c r="D401" s="210" t="s">
        <v>87</v>
      </c>
      <c r="E401" s="187">
        <f>+ROUND((26*1*0.2)+(22*1*0.2*2),1)</f>
        <v>14</v>
      </c>
      <c r="F401" s="262"/>
      <c r="G401" s="255"/>
    </row>
    <row r="402" spans="1:7" x14ac:dyDescent="0.25">
      <c r="A402" s="454"/>
      <c r="B402" s="240"/>
      <c r="C402" s="239"/>
      <c r="D402" s="240"/>
      <c r="E402" s="455"/>
      <c r="F402" s="456"/>
      <c r="G402" s="239"/>
    </row>
    <row r="403" spans="1:7" x14ac:dyDescent="0.25">
      <c r="A403" s="249"/>
      <c r="B403" s="273" t="s">
        <v>7</v>
      </c>
      <c r="C403" s="257" t="s">
        <v>795</v>
      </c>
      <c r="D403" s="142"/>
      <c r="E403" s="278"/>
      <c r="F403" s="262"/>
      <c r="G403" s="235"/>
    </row>
    <row r="404" spans="1:7" x14ac:dyDescent="0.25">
      <c r="A404" s="454"/>
      <c r="B404" s="240"/>
      <c r="C404" s="239"/>
      <c r="D404" s="240"/>
      <c r="E404" s="455"/>
      <c r="F404" s="456"/>
      <c r="G404" s="239"/>
    </row>
    <row r="405" spans="1:7" ht="13.5" x14ac:dyDescent="0.25">
      <c r="A405" s="249" t="s">
        <v>1234</v>
      </c>
      <c r="B405" s="142"/>
      <c r="C405" s="235" t="s">
        <v>1032</v>
      </c>
      <c r="D405" s="210" t="s">
        <v>87</v>
      </c>
      <c r="E405" s="187">
        <f>+ROUND((5.46*0.25*4)+(3.46*0.25*4*2),1)</f>
        <v>12.4</v>
      </c>
      <c r="F405" s="262"/>
      <c r="G405" s="255"/>
    </row>
    <row r="406" spans="1:7" x14ac:dyDescent="0.25">
      <c r="A406" s="454"/>
      <c r="B406" s="240"/>
      <c r="C406" s="239"/>
      <c r="D406" s="240"/>
      <c r="E406" s="455"/>
      <c r="F406" s="456"/>
      <c r="G406" s="239"/>
    </row>
    <row r="407" spans="1:7" ht="24" x14ac:dyDescent="0.25">
      <c r="A407" s="249" t="s">
        <v>1235</v>
      </c>
      <c r="B407" s="142"/>
      <c r="C407" s="233" t="s">
        <v>1033</v>
      </c>
      <c r="D407" s="210" t="s">
        <v>87</v>
      </c>
      <c r="E407" s="187">
        <f>+ROUND((5.46*5.46)+(3.46*3.46*2),1)</f>
        <v>53.8</v>
      </c>
      <c r="F407" s="262"/>
      <c r="G407" s="255"/>
    </row>
    <row r="408" spans="1:7" x14ac:dyDescent="0.25">
      <c r="A408" s="389"/>
      <c r="B408" s="390"/>
      <c r="C408" s="391"/>
      <c r="D408" s="390"/>
      <c r="E408" s="392"/>
      <c r="F408" s="393"/>
      <c r="G408" s="391"/>
    </row>
    <row r="409" spans="1:7" ht="28.5" customHeight="1" x14ac:dyDescent="0.25">
      <c r="A409" s="538" t="s">
        <v>609</v>
      </c>
      <c r="B409" s="538"/>
      <c r="C409" s="538"/>
      <c r="D409" s="538"/>
      <c r="E409" s="538"/>
      <c r="F409" s="538"/>
      <c r="G409" s="158"/>
    </row>
    <row r="410" spans="1:7" ht="28.5" customHeight="1" x14ac:dyDescent="0.25">
      <c r="A410" s="538" t="s">
        <v>610</v>
      </c>
      <c r="B410" s="538"/>
      <c r="C410" s="538"/>
      <c r="D410" s="538"/>
      <c r="E410" s="538"/>
      <c r="F410" s="538"/>
      <c r="G410" s="158"/>
    </row>
    <row r="411" spans="1:7" x14ac:dyDescent="0.25">
      <c r="A411" s="263"/>
      <c r="B411" s="264"/>
      <c r="C411" s="265"/>
      <c r="D411" s="264"/>
      <c r="E411" s="266"/>
      <c r="F411" s="267"/>
      <c r="G411" s="265"/>
    </row>
    <row r="412" spans="1:7" x14ac:dyDescent="0.25">
      <c r="A412" s="150"/>
      <c r="B412" s="46">
        <v>8.3000000000000007</v>
      </c>
      <c r="C412" s="6" t="s">
        <v>151</v>
      </c>
      <c r="D412" s="121"/>
      <c r="E412" s="165"/>
      <c r="F412" s="149"/>
      <c r="G412" s="117"/>
    </row>
    <row r="413" spans="1:7" x14ac:dyDescent="0.25">
      <c r="A413" s="259"/>
      <c r="B413" s="162"/>
      <c r="C413" s="394"/>
      <c r="D413" s="162"/>
      <c r="E413" s="260"/>
      <c r="F413" s="261"/>
      <c r="G413" s="163"/>
    </row>
    <row r="414" spans="1:7" x14ac:dyDescent="0.25">
      <c r="A414" s="150"/>
      <c r="B414" s="121"/>
      <c r="C414" s="72" t="s">
        <v>406</v>
      </c>
      <c r="D414" s="121"/>
      <c r="E414" s="165"/>
      <c r="F414" s="149"/>
      <c r="G414" s="117"/>
    </row>
    <row r="415" spans="1:7" x14ac:dyDescent="0.25">
      <c r="A415" s="259"/>
      <c r="B415" s="162"/>
      <c r="C415" s="163"/>
      <c r="D415" s="162"/>
      <c r="E415" s="260"/>
      <c r="F415" s="261"/>
      <c r="G415" s="163"/>
    </row>
    <row r="416" spans="1:7" x14ac:dyDescent="0.25">
      <c r="A416" s="150" t="s">
        <v>1236</v>
      </c>
      <c r="B416" s="121" t="s">
        <v>26</v>
      </c>
      <c r="C416" s="113" t="s">
        <v>769</v>
      </c>
      <c r="D416" s="121" t="s">
        <v>92</v>
      </c>
      <c r="E416" s="139">
        <f>+ROUND((10.336*0.4*0.135)+(16.736*0.4*0.135),1)</f>
        <v>1.5</v>
      </c>
      <c r="F416" s="149"/>
      <c r="G416" s="145"/>
    </row>
    <row r="417" spans="1:8" x14ac:dyDescent="0.25">
      <c r="A417" s="259"/>
      <c r="B417" s="162"/>
      <c r="C417" s="163"/>
      <c r="D417" s="162"/>
      <c r="E417" s="260"/>
      <c r="F417" s="261"/>
      <c r="G417" s="163"/>
    </row>
    <row r="418" spans="1:8" ht="24" x14ac:dyDescent="0.25">
      <c r="A418" s="150" t="s">
        <v>1237</v>
      </c>
      <c r="B418" s="51" t="s">
        <v>477</v>
      </c>
      <c r="C418" s="50" t="s">
        <v>568</v>
      </c>
      <c r="D418" s="112" t="s">
        <v>87</v>
      </c>
      <c r="E418" s="139">
        <f>+ROUND((5*5)+(3*3*2)+25.9+(17.84*2),1)</f>
        <v>104.6</v>
      </c>
      <c r="F418" s="149"/>
      <c r="G418" s="145"/>
      <c r="H418" s="164">
        <v>25.84</v>
      </c>
    </row>
    <row r="419" spans="1:8" x14ac:dyDescent="0.25">
      <c r="A419" s="259"/>
      <c r="B419" s="162"/>
      <c r="C419" s="163"/>
      <c r="D419" s="162"/>
      <c r="E419" s="260"/>
      <c r="F419" s="261"/>
      <c r="G419" s="163"/>
    </row>
    <row r="420" spans="1:8" x14ac:dyDescent="0.25">
      <c r="A420" s="150"/>
      <c r="B420" s="5">
        <v>8.4</v>
      </c>
      <c r="C420" s="19" t="s">
        <v>152</v>
      </c>
      <c r="D420" s="121"/>
      <c r="E420" s="165"/>
      <c r="F420" s="149"/>
      <c r="G420" s="117"/>
    </row>
    <row r="421" spans="1:8" x14ac:dyDescent="0.25">
      <c r="A421" s="259"/>
      <c r="B421" s="395"/>
      <c r="C421" s="396"/>
      <c r="D421" s="162"/>
      <c r="E421" s="260"/>
      <c r="F421" s="261"/>
      <c r="G421" s="163"/>
    </row>
    <row r="422" spans="1:8" x14ac:dyDescent="0.25">
      <c r="A422" s="150"/>
      <c r="B422" s="112"/>
      <c r="C422" s="72" t="s">
        <v>407</v>
      </c>
      <c r="D422" s="121"/>
      <c r="E422" s="165"/>
      <c r="F422" s="149"/>
      <c r="G422" s="117"/>
    </row>
    <row r="423" spans="1:8" x14ac:dyDescent="0.25">
      <c r="A423" s="259"/>
      <c r="B423" s="162"/>
      <c r="C423" s="163"/>
      <c r="D423" s="162"/>
      <c r="E423" s="260"/>
      <c r="F423" s="261"/>
      <c r="G423" s="163"/>
    </row>
    <row r="424" spans="1:8" x14ac:dyDescent="0.25">
      <c r="A424" s="150"/>
      <c r="B424" s="65" t="s">
        <v>94</v>
      </c>
      <c r="C424" s="166" t="s">
        <v>178</v>
      </c>
      <c r="D424" s="121"/>
      <c r="E424" s="165"/>
      <c r="F424" s="149"/>
      <c r="G424" s="117"/>
    </row>
    <row r="425" spans="1:8" x14ac:dyDescent="0.25">
      <c r="A425" s="259"/>
      <c r="B425" s="162"/>
      <c r="C425" s="163"/>
      <c r="D425" s="162"/>
      <c r="E425" s="260"/>
      <c r="F425" s="261"/>
      <c r="G425" s="163"/>
    </row>
    <row r="426" spans="1:8" ht="24" x14ac:dyDescent="0.25">
      <c r="A426" s="150" t="s">
        <v>1238</v>
      </c>
      <c r="B426" s="121"/>
      <c r="C426" s="116" t="s">
        <v>1034</v>
      </c>
      <c r="D426" s="121" t="s">
        <v>88</v>
      </c>
      <c r="E426" s="139">
        <f>+ROUND((5.46*5.46*0.25)+(3.46*3.46*0.25*2),1)</f>
        <v>13.4</v>
      </c>
      <c r="F426" s="149"/>
      <c r="G426" s="145"/>
    </row>
    <row r="427" spans="1:8" x14ac:dyDescent="0.25">
      <c r="A427" s="259"/>
      <c r="B427" s="162"/>
      <c r="C427" s="163"/>
      <c r="D427" s="162"/>
      <c r="E427" s="260"/>
      <c r="F427" s="261"/>
      <c r="G427" s="163"/>
    </row>
    <row r="428" spans="1:8" ht="24" x14ac:dyDescent="0.25">
      <c r="A428" s="150" t="s">
        <v>1239</v>
      </c>
      <c r="B428" s="121"/>
      <c r="C428" s="116" t="s">
        <v>1035</v>
      </c>
      <c r="D428" s="121" t="s">
        <v>88</v>
      </c>
      <c r="E428" s="139">
        <f>+ROUND((5*5*0.2)+(3*3*0.2*2)+(25.9*0.125)+(17.84*0.125*2)+(10.336*0.4)+(16.736*0.4),1)</f>
        <v>27.1</v>
      </c>
      <c r="F428" s="149"/>
      <c r="G428" s="145"/>
    </row>
    <row r="429" spans="1:8" x14ac:dyDescent="0.25">
      <c r="A429" s="259"/>
      <c r="B429" s="162"/>
      <c r="C429" s="163"/>
      <c r="D429" s="162"/>
      <c r="E429" s="260"/>
      <c r="F429" s="261"/>
      <c r="G429" s="163"/>
    </row>
    <row r="430" spans="1:8" ht="24" x14ac:dyDescent="0.25">
      <c r="A430" s="150" t="s">
        <v>1240</v>
      </c>
      <c r="B430" s="121"/>
      <c r="C430" s="116" t="s">
        <v>1036</v>
      </c>
      <c r="D430" s="121" t="s">
        <v>88</v>
      </c>
      <c r="E430" s="139">
        <v>3</v>
      </c>
      <c r="F430" s="149"/>
      <c r="G430" s="145"/>
    </row>
    <row r="431" spans="1:8" x14ac:dyDescent="0.25">
      <c r="A431" s="259"/>
      <c r="B431" s="162"/>
      <c r="C431" s="163"/>
      <c r="D431" s="162"/>
      <c r="E431" s="260"/>
      <c r="F431" s="261"/>
      <c r="G431" s="163"/>
    </row>
    <row r="432" spans="1:8" ht="13.5" x14ac:dyDescent="0.25">
      <c r="A432" s="150" t="s">
        <v>1241</v>
      </c>
      <c r="B432" s="121"/>
      <c r="C432" s="117" t="s">
        <v>1037</v>
      </c>
      <c r="D432" s="121" t="s">
        <v>88</v>
      </c>
      <c r="E432" s="139">
        <f>+ROUND((10.336*0.05)+(16.736*0.05)+(5*5*0.05)+(3*3*0.05*2),1)</f>
        <v>3.5</v>
      </c>
      <c r="F432" s="149"/>
      <c r="G432" s="145"/>
    </row>
    <row r="433" spans="1:7" x14ac:dyDescent="0.25">
      <c r="A433" s="259"/>
      <c r="B433" s="162"/>
      <c r="C433" s="163"/>
      <c r="D433" s="162"/>
      <c r="E433" s="260"/>
      <c r="F433" s="261"/>
      <c r="G433" s="163"/>
    </row>
    <row r="434" spans="1:7" x14ac:dyDescent="0.25">
      <c r="A434" s="150"/>
      <c r="B434" s="65" t="s">
        <v>58</v>
      </c>
      <c r="C434" s="7" t="s">
        <v>158</v>
      </c>
      <c r="D434" s="112"/>
      <c r="E434" s="165"/>
      <c r="F434" s="149"/>
      <c r="G434" s="117"/>
    </row>
    <row r="435" spans="1:7" x14ac:dyDescent="0.25">
      <c r="A435" s="259"/>
      <c r="B435" s="162"/>
      <c r="C435" s="163"/>
      <c r="D435" s="162"/>
      <c r="E435" s="260"/>
      <c r="F435" s="261"/>
      <c r="G435" s="163"/>
    </row>
    <row r="436" spans="1:7" ht="24" x14ac:dyDescent="0.25">
      <c r="A436" s="150" t="s">
        <v>1242</v>
      </c>
      <c r="B436" s="121"/>
      <c r="C436" s="116" t="s">
        <v>1039</v>
      </c>
      <c r="D436" s="112" t="s">
        <v>87</v>
      </c>
      <c r="E436" s="165">
        <f>+ROUND((5.46*5.46)+(3.46*3.46*2)+(25.9)+(17.84*2),1)</f>
        <v>115.3</v>
      </c>
      <c r="F436" s="149"/>
      <c r="G436" s="145"/>
    </row>
    <row r="437" spans="1:7" x14ac:dyDescent="0.25">
      <c r="A437" s="259"/>
      <c r="B437" s="162"/>
      <c r="C437" s="163"/>
      <c r="D437" s="162"/>
      <c r="E437" s="260"/>
      <c r="F437" s="261"/>
      <c r="G437" s="163"/>
    </row>
    <row r="438" spans="1:7" ht="13.5" x14ac:dyDescent="0.25">
      <c r="A438" s="150" t="s">
        <v>1243</v>
      </c>
      <c r="B438" s="121"/>
      <c r="C438" s="117" t="s">
        <v>1038</v>
      </c>
      <c r="D438" s="112" t="s">
        <v>87</v>
      </c>
      <c r="E438" s="139">
        <f>+ROUND((5*5)+(3*3*2),1)</f>
        <v>43</v>
      </c>
      <c r="F438" s="149"/>
      <c r="G438" s="145"/>
    </row>
    <row r="439" spans="1:7" x14ac:dyDescent="0.25">
      <c r="A439" s="259"/>
      <c r="B439" s="162"/>
      <c r="C439" s="163"/>
      <c r="D439" s="162"/>
      <c r="E439" s="260"/>
      <c r="F439" s="261"/>
      <c r="G439" s="163"/>
    </row>
    <row r="440" spans="1:7" x14ac:dyDescent="0.25">
      <c r="A440" s="150"/>
      <c r="B440" s="138" t="s">
        <v>575</v>
      </c>
      <c r="C440" s="60" t="s">
        <v>409</v>
      </c>
      <c r="D440" s="112"/>
      <c r="E440" s="139"/>
      <c r="F440" s="149"/>
      <c r="G440" s="145"/>
    </row>
    <row r="441" spans="1:7" x14ac:dyDescent="0.25">
      <c r="A441" s="259"/>
      <c r="B441" s="162"/>
      <c r="C441" s="163"/>
      <c r="D441" s="162"/>
      <c r="E441" s="260"/>
      <c r="F441" s="261"/>
      <c r="G441" s="163"/>
    </row>
    <row r="442" spans="1:7" ht="24" x14ac:dyDescent="0.25">
      <c r="A442" s="150" t="s">
        <v>1244</v>
      </c>
      <c r="B442" s="138"/>
      <c r="C442" s="50" t="s">
        <v>1040</v>
      </c>
      <c r="D442" s="112" t="s">
        <v>6</v>
      </c>
      <c r="E442" s="139">
        <f>+ROUND((12.92*2)+(20.92),1)</f>
        <v>46.8</v>
      </c>
      <c r="F442" s="149"/>
      <c r="G442" s="145"/>
    </row>
    <row r="443" spans="1:7" x14ac:dyDescent="0.25">
      <c r="A443" s="259"/>
      <c r="B443" s="162"/>
      <c r="C443" s="163"/>
      <c r="D443" s="162"/>
      <c r="E443" s="260"/>
      <c r="F443" s="261"/>
      <c r="G443" s="163"/>
    </row>
    <row r="444" spans="1:7" ht="36" x14ac:dyDescent="0.25">
      <c r="A444" s="150"/>
      <c r="B444" s="121"/>
      <c r="C444" s="7" t="s">
        <v>2346</v>
      </c>
      <c r="D444" s="112"/>
      <c r="E444" s="139"/>
      <c r="F444" s="149"/>
      <c r="G444" s="145"/>
    </row>
    <row r="445" spans="1:7" x14ac:dyDescent="0.25">
      <c r="A445" s="259"/>
      <c r="B445" s="162"/>
      <c r="C445" s="163"/>
      <c r="D445" s="162"/>
      <c r="E445" s="260"/>
      <c r="F445" s="261"/>
      <c r="G445" s="163"/>
    </row>
    <row r="446" spans="1:7" ht="48" x14ac:dyDescent="0.25">
      <c r="A446" s="150" t="s">
        <v>1245</v>
      </c>
      <c r="B446" s="121"/>
      <c r="C446" s="116" t="s">
        <v>578</v>
      </c>
      <c r="D446" s="112" t="s">
        <v>6</v>
      </c>
      <c r="E446" s="139">
        <f>20+(12*2)</f>
        <v>44</v>
      </c>
      <c r="F446" s="149"/>
      <c r="G446" s="145"/>
    </row>
    <row r="447" spans="1:7" x14ac:dyDescent="0.25">
      <c r="A447" s="259"/>
      <c r="B447" s="162"/>
      <c r="C447" s="163"/>
      <c r="D447" s="162"/>
      <c r="E447" s="260"/>
      <c r="F447" s="261"/>
      <c r="G447" s="163"/>
    </row>
    <row r="448" spans="1:7" ht="48" x14ac:dyDescent="0.25">
      <c r="A448" s="150" t="s">
        <v>1246</v>
      </c>
      <c r="B448" s="121"/>
      <c r="C448" s="116" t="s">
        <v>516</v>
      </c>
      <c r="D448" s="112" t="s">
        <v>6</v>
      </c>
      <c r="E448" s="139">
        <f>+ROUND((13.84*2)+(21.84),1)</f>
        <v>49.5</v>
      </c>
      <c r="F448" s="149"/>
      <c r="G448" s="145"/>
    </row>
    <row r="449" spans="1:7" x14ac:dyDescent="0.25">
      <c r="A449" s="259"/>
      <c r="B449" s="162"/>
      <c r="C449" s="163"/>
      <c r="D449" s="162"/>
      <c r="E449" s="260"/>
      <c r="F449" s="261"/>
      <c r="G449" s="163"/>
    </row>
    <row r="450" spans="1:7" ht="28.5" customHeight="1" x14ac:dyDescent="0.25">
      <c r="A450" s="538" t="s">
        <v>609</v>
      </c>
      <c r="B450" s="538"/>
      <c r="C450" s="538"/>
      <c r="D450" s="538"/>
      <c r="E450" s="538"/>
      <c r="F450" s="538"/>
      <c r="G450" s="158"/>
    </row>
    <row r="451" spans="1:7" ht="28.5" customHeight="1" x14ac:dyDescent="0.25">
      <c r="A451" s="538" t="s">
        <v>610</v>
      </c>
      <c r="B451" s="538"/>
      <c r="C451" s="538"/>
      <c r="D451" s="538"/>
      <c r="E451" s="538"/>
      <c r="F451" s="538"/>
      <c r="G451" s="158"/>
    </row>
    <row r="452" spans="1:7" x14ac:dyDescent="0.25">
      <c r="A452" s="259"/>
      <c r="B452" s="162"/>
      <c r="C452" s="394"/>
      <c r="D452" s="397"/>
      <c r="E452" s="398"/>
      <c r="F452" s="261"/>
      <c r="G452" s="388"/>
    </row>
    <row r="453" spans="1:7" ht="36" x14ac:dyDescent="0.25">
      <c r="A453" s="249" t="s">
        <v>1247</v>
      </c>
      <c r="B453" s="142"/>
      <c r="C453" s="233" t="s">
        <v>520</v>
      </c>
      <c r="D453" s="210" t="s">
        <v>6</v>
      </c>
      <c r="E453" s="187">
        <f>E446+E448</f>
        <v>93.5</v>
      </c>
      <c r="F453" s="262"/>
      <c r="G453" s="255"/>
    </row>
    <row r="454" spans="1:7" x14ac:dyDescent="0.25">
      <c r="A454" s="454"/>
      <c r="B454" s="240"/>
      <c r="C454" s="287"/>
      <c r="D454" s="251"/>
      <c r="E454" s="285"/>
      <c r="F454" s="456"/>
      <c r="G454" s="252"/>
    </row>
    <row r="455" spans="1:7" ht="24" x14ac:dyDescent="0.25">
      <c r="A455" s="249"/>
      <c r="B455" s="142"/>
      <c r="C455" s="257" t="s">
        <v>2123</v>
      </c>
      <c r="D455" s="229"/>
      <c r="E455" s="186"/>
      <c r="F455" s="262"/>
      <c r="G455" s="255"/>
    </row>
    <row r="456" spans="1:7" x14ac:dyDescent="0.25">
      <c r="A456" s="454"/>
      <c r="B456" s="240"/>
      <c r="C456" s="287"/>
      <c r="D456" s="251"/>
      <c r="E456" s="285"/>
      <c r="F456" s="456"/>
      <c r="G456" s="252"/>
    </row>
    <row r="457" spans="1:7" x14ac:dyDescent="0.25">
      <c r="A457" s="249" t="s">
        <v>1248</v>
      </c>
      <c r="B457" s="142"/>
      <c r="C457" s="233" t="s">
        <v>515</v>
      </c>
      <c r="D457" s="210" t="s">
        <v>6</v>
      </c>
      <c r="E457" s="186">
        <f>26+(22*2)</f>
        <v>70</v>
      </c>
      <c r="F457" s="230"/>
      <c r="G457" s="255"/>
    </row>
    <row r="458" spans="1:7" x14ac:dyDescent="0.25">
      <c r="A458" s="454"/>
      <c r="B458" s="240"/>
      <c r="C458" s="287"/>
      <c r="D458" s="251"/>
      <c r="E458" s="285"/>
      <c r="F458" s="456"/>
      <c r="G458" s="252"/>
    </row>
    <row r="459" spans="1:7" ht="24" x14ac:dyDescent="0.25">
      <c r="A459" s="249" t="s">
        <v>1249</v>
      </c>
      <c r="B459" s="142"/>
      <c r="C459" s="233" t="s">
        <v>512</v>
      </c>
      <c r="D459" s="210" t="s">
        <v>6</v>
      </c>
      <c r="E459" s="186">
        <f>26+(22*2)</f>
        <v>70</v>
      </c>
      <c r="F459" s="230"/>
      <c r="G459" s="255"/>
    </row>
    <row r="460" spans="1:7" x14ac:dyDescent="0.25">
      <c r="A460" s="454"/>
      <c r="B460" s="240"/>
      <c r="C460" s="287"/>
      <c r="D460" s="251"/>
      <c r="E460" s="285"/>
      <c r="F460" s="456"/>
      <c r="G460" s="252"/>
    </row>
    <row r="461" spans="1:7" ht="24" x14ac:dyDescent="0.25">
      <c r="A461" s="249" t="s">
        <v>1250</v>
      </c>
      <c r="B461" s="142"/>
      <c r="C461" s="233" t="s">
        <v>513</v>
      </c>
      <c r="D461" s="210" t="s">
        <v>6</v>
      </c>
      <c r="E461" s="186">
        <f>26+(22*2)</f>
        <v>70</v>
      </c>
      <c r="F461" s="230"/>
      <c r="G461" s="255"/>
    </row>
    <row r="462" spans="1:7" x14ac:dyDescent="0.25">
      <c r="A462" s="454"/>
      <c r="B462" s="240"/>
      <c r="C462" s="287"/>
      <c r="D462" s="251"/>
      <c r="E462" s="285"/>
      <c r="F462" s="456"/>
      <c r="G462" s="252"/>
    </row>
    <row r="463" spans="1:7" ht="36" x14ac:dyDescent="0.25">
      <c r="A463" s="249" t="s">
        <v>1251</v>
      </c>
      <c r="B463" s="142"/>
      <c r="C463" s="233" t="s">
        <v>514</v>
      </c>
      <c r="D463" s="210" t="s">
        <v>6</v>
      </c>
      <c r="E463" s="186">
        <f>26+(22*2)</f>
        <v>70</v>
      </c>
      <c r="F463" s="230"/>
      <c r="G463" s="255"/>
    </row>
    <row r="464" spans="1:7" x14ac:dyDescent="0.25">
      <c r="A464" s="454"/>
      <c r="B464" s="240"/>
      <c r="C464" s="287"/>
      <c r="D464" s="251"/>
      <c r="E464" s="285"/>
      <c r="F464" s="456"/>
      <c r="G464" s="252"/>
    </row>
    <row r="465" spans="1:7" x14ac:dyDescent="0.25">
      <c r="A465" s="249"/>
      <c r="B465" s="142"/>
      <c r="C465" s="218" t="s">
        <v>583</v>
      </c>
      <c r="D465" s="210"/>
      <c r="E465" s="186"/>
      <c r="F465" s="230"/>
      <c r="G465" s="255"/>
    </row>
    <row r="466" spans="1:7" x14ac:dyDescent="0.25">
      <c r="A466" s="454"/>
      <c r="B466" s="240"/>
      <c r="C466" s="287"/>
      <c r="D466" s="251"/>
      <c r="E466" s="285"/>
      <c r="F466" s="456"/>
      <c r="G466" s="252"/>
    </row>
    <row r="467" spans="1:7" ht="63" customHeight="1" x14ac:dyDescent="0.25">
      <c r="A467" s="249" t="s">
        <v>1252</v>
      </c>
      <c r="B467" s="142"/>
      <c r="C467" s="233" t="s">
        <v>579</v>
      </c>
      <c r="D467" s="142" t="s">
        <v>87</v>
      </c>
      <c r="E467" s="186">
        <f>ROUND(12.92+12.92+16.92,1)</f>
        <v>42.8</v>
      </c>
      <c r="F467" s="242"/>
      <c r="G467" s="255"/>
    </row>
    <row r="468" spans="1:7" x14ac:dyDescent="0.25">
      <c r="A468" s="454"/>
      <c r="B468" s="240"/>
      <c r="C468" s="287"/>
      <c r="D468" s="251"/>
      <c r="E468" s="285"/>
      <c r="F468" s="456"/>
      <c r="G468" s="252"/>
    </row>
    <row r="469" spans="1:7" ht="60" x14ac:dyDescent="0.25">
      <c r="A469" s="249" t="s">
        <v>1253</v>
      </c>
      <c r="B469" s="142"/>
      <c r="C469" s="233" t="s">
        <v>580</v>
      </c>
      <c r="D469" s="142" t="s">
        <v>87</v>
      </c>
      <c r="E469" s="186">
        <f>ROUND(38.76+62.76+38.76,1)</f>
        <v>140.30000000000001</v>
      </c>
      <c r="F469" s="242"/>
      <c r="G469" s="255"/>
    </row>
    <row r="470" spans="1:7" ht="11.1" customHeight="1" x14ac:dyDescent="0.25">
      <c r="A470" s="454"/>
      <c r="B470" s="240"/>
      <c r="C470" s="287"/>
      <c r="D470" s="251"/>
      <c r="E470" s="285"/>
      <c r="F470" s="456"/>
      <c r="G470" s="252"/>
    </row>
    <row r="471" spans="1:7" x14ac:dyDescent="0.25">
      <c r="A471" s="249" t="s">
        <v>1254</v>
      </c>
      <c r="B471" s="142"/>
      <c r="C471" s="233" t="s">
        <v>582</v>
      </c>
      <c r="D471" s="210" t="s">
        <v>8</v>
      </c>
      <c r="E471" s="186">
        <f>+ROUND((20*4)+(12*2*4),1)</f>
        <v>176</v>
      </c>
      <c r="F471" s="242"/>
      <c r="G471" s="255"/>
    </row>
    <row r="472" spans="1:7" ht="11.1" customHeight="1" x14ac:dyDescent="0.25">
      <c r="A472" s="454"/>
      <c r="B472" s="240"/>
      <c r="C472" s="287"/>
      <c r="D472" s="251"/>
      <c r="E472" s="285"/>
      <c r="F472" s="456"/>
      <c r="G472" s="252"/>
    </row>
    <row r="473" spans="1:7" ht="36" x14ac:dyDescent="0.25">
      <c r="A473" s="249" t="s">
        <v>1255</v>
      </c>
      <c r="B473" s="142"/>
      <c r="C473" s="119" t="s">
        <v>581</v>
      </c>
      <c r="D473" s="142" t="s">
        <v>87</v>
      </c>
      <c r="E473" s="186">
        <f>ROUND(55.65+(2*29.8),1)</f>
        <v>115.3</v>
      </c>
      <c r="F473" s="230"/>
      <c r="G473" s="255"/>
    </row>
    <row r="474" spans="1:7" ht="11.1" customHeight="1" x14ac:dyDescent="0.25">
      <c r="A474" s="454"/>
      <c r="B474" s="240"/>
      <c r="C474" s="287"/>
      <c r="D474" s="251"/>
      <c r="E474" s="285"/>
      <c r="F474" s="456"/>
      <c r="G474" s="252"/>
    </row>
    <row r="475" spans="1:7" ht="48" x14ac:dyDescent="0.25">
      <c r="A475" s="249" t="s">
        <v>1256</v>
      </c>
      <c r="B475" s="142"/>
      <c r="C475" s="233" t="s">
        <v>584</v>
      </c>
      <c r="D475" s="210" t="s">
        <v>8</v>
      </c>
      <c r="E475" s="186">
        <v>3</v>
      </c>
      <c r="F475" s="230"/>
      <c r="G475" s="255"/>
    </row>
    <row r="476" spans="1:7" ht="11.1" customHeight="1" x14ac:dyDescent="0.25">
      <c r="A476" s="454"/>
      <c r="B476" s="240"/>
      <c r="C476" s="287"/>
      <c r="D476" s="251"/>
      <c r="E476" s="285"/>
      <c r="F476" s="456"/>
      <c r="G476" s="252"/>
    </row>
    <row r="477" spans="1:7" ht="48" x14ac:dyDescent="0.25">
      <c r="A477" s="249" t="s">
        <v>2160</v>
      </c>
      <c r="B477" s="142"/>
      <c r="C477" s="233" t="s">
        <v>585</v>
      </c>
      <c r="D477" s="210" t="s">
        <v>8</v>
      </c>
      <c r="E477" s="186">
        <v>6</v>
      </c>
      <c r="F477" s="230"/>
      <c r="G477" s="255"/>
    </row>
    <row r="478" spans="1:7" ht="11.1" customHeight="1" x14ac:dyDescent="0.25">
      <c r="A478" s="454"/>
      <c r="B478" s="240"/>
      <c r="C478" s="287"/>
      <c r="D478" s="251"/>
      <c r="E478" s="285"/>
      <c r="F478" s="456"/>
      <c r="G478" s="252"/>
    </row>
    <row r="479" spans="1:7" ht="36" x14ac:dyDescent="0.25">
      <c r="A479" s="249" t="s">
        <v>2161</v>
      </c>
      <c r="B479" s="142"/>
      <c r="C479" s="233" t="s">
        <v>586</v>
      </c>
      <c r="D479" s="210" t="s">
        <v>6</v>
      </c>
      <c r="E479" s="187">
        <f>3*6</f>
        <v>18</v>
      </c>
      <c r="F479" s="262"/>
      <c r="G479" s="255"/>
    </row>
    <row r="480" spans="1:7" x14ac:dyDescent="0.25">
      <c r="A480" s="259"/>
      <c r="B480" s="162"/>
      <c r="C480" s="394"/>
      <c r="D480" s="385"/>
      <c r="E480" s="398"/>
      <c r="F480" s="261"/>
      <c r="G480" s="388"/>
    </row>
    <row r="481" spans="1:7" ht="28.5" customHeight="1" x14ac:dyDescent="0.25">
      <c r="A481" s="526" t="s">
        <v>1041</v>
      </c>
      <c r="B481" s="526"/>
      <c r="C481" s="526"/>
      <c r="D481" s="526"/>
      <c r="E481" s="526"/>
      <c r="F481" s="526"/>
      <c r="G481" s="188"/>
    </row>
    <row r="482" spans="1:7" x14ac:dyDescent="0.25">
      <c r="A482" s="249"/>
      <c r="B482" s="142"/>
      <c r="C482" s="233"/>
      <c r="D482" s="210"/>
      <c r="E482" s="187"/>
      <c r="F482" s="262"/>
      <c r="G482" s="255"/>
    </row>
    <row r="483" spans="1:7" x14ac:dyDescent="0.25">
      <c r="A483" s="150"/>
      <c r="B483" s="121"/>
      <c r="C483" s="116"/>
      <c r="D483" s="112"/>
      <c r="E483" s="139"/>
      <c r="F483" s="149"/>
      <c r="G483" s="145"/>
    </row>
    <row r="484" spans="1:7" x14ac:dyDescent="0.25">
      <c r="A484" s="150"/>
      <c r="B484" s="121"/>
      <c r="C484" s="116"/>
      <c r="D484" s="112"/>
      <c r="E484" s="139"/>
      <c r="F484" s="149"/>
      <c r="G484" s="145"/>
    </row>
    <row r="485" spans="1:7" x14ac:dyDescent="0.25">
      <c r="A485" s="150"/>
      <c r="B485" s="121"/>
      <c r="C485" s="116"/>
      <c r="D485" s="112"/>
      <c r="E485" s="139"/>
      <c r="F485" s="149"/>
      <c r="G485" s="145"/>
    </row>
    <row r="486" spans="1:7" x14ac:dyDescent="0.25">
      <c r="A486" s="150"/>
      <c r="B486" s="121"/>
      <c r="C486" s="116"/>
      <c r="D486" s="112"/>
      <c r="E486" s="139"/>
      <c r="F486" s="149"/>
      <c r="G486" s="145"/>
    </row>
    <row r="487" spans="1:7" x14ac:dyDescent="0.25">
      <c r="A487" s="150"/>
      <c r="B487" s="121"/>
      <c r="C487" s="116"/>
      <c r="D487" s="112"/>
      <c r="E487" s="139"/>
      <c r="F487" s="149"/>
      <c r="G487" s="145"/>
    </row>
    <row r="488" spans="1:7" x14ac:dyDescent="0.25">
      <c r="A488" s="150"/>
      <c r="B488" s="121"/>
      <c r="C488" s="116"/>
      <c r="D488" s="112"/>
      <c r="E488" s="139"/>
      <c r="F488" s="149"/>
      <c r="G488" s="145"/>
    </row>
    <row r="489" spans="1:7" x14ac:dyDescent="0.25">
      <c r="A489" s="150"/>
      <c r="B489" s="121"/>
      <c r="C489" s="116"/>
      <c r="D489" s="112"/>
      <c r="E489" s="139"/>
      <c r="F489" s="149"/>
      <c r="G489" s="145"/>
    </row>
    <row r="490" spans="1:7" x14ac:dyDescent="0.25">
      <c r="A490" s="150"/>
      <c r="B490" s="121"/>
      <c r="C490" s="116"/>
      <c r="D490" s="112"/>
      <c r="E490" s="139"/>
      <c r="F490" s="149"/>
      <c r="G490" s="145"/>
    </row>
    <row r="491" spans="1:7" x14ac:dyDescent="0.25">
      <c r="A491" s="150"/>
      <c r="B491" s="121"/>
      <c r="C491" s="116"/>
      <c r="D491" s="112"/>
      <c r="E491" s="139"/>
      <c r="F491" s="149"/>
      <c r="G491" s="145"/>
    </row>
    <row r="492" spans="1:7" x14ac:dyDescent="0.25">
      <c r="A492" s="150"/>
      <c r="B492" s="121"/>
      <c r="C492" s="116"/>
      <c r="D492" s="112"/>
      <c r="E492" s="139"/>
      <c r="F492" s="149"/>
      <c r="G492" s="145"/>
    </row>
    <row r="493" spans="1:7" x14ac:dyDescent="0.25">
      <c r="A493" s="150"/>
      <c r="B493" s="121"/>
      <c r="C493" s="116"/>
      <c r="D493" s="112"/>
      <c r="E493" s="139"/>
      <c r="F493" s="149"/>
      <c r="G493" s="145"/>
    </row>
    <row r="494" spans="1:7" x14ac:dyDescent="0.25">
      <c r="A494" s="150"/>
      <c r="B494" s="121"/>
      <c r="C494" s="116"/>
      <c r="D494" s="112"/>
      <c r="E494" s="139"/>
      <c r="F494" s="149"/>
      <c r="G494" s="145"/>
    </row>
    <row r="495" spans="1:7" x14ac:dyDescent="0.25">
      <c r="A495" s="150"/>
      <c r="B495" s="121"/>
      <c r="C495" s="116"/>
      <c r="D495" s="112"/>
      <c r="E495" s="139"/>
      <c r="F495" s="149"/>
      <c r="G495" s="145"/>
    </row>
    <row r="496" spans="1:7" x14ac:dyDescent="0.25">
      <c r="A496" s="150"/>
      <c r="B496" s="121"/>
      <c r="C496" s="116"/>
      <c r="D496" s="112"/>
      <c r="E496" s="139"/>
      <c r="F496" s="149"/>
      <c r="G496" s="145"/>
    </row>
    <row r="497" spans="1:7" x14ac:dyDescent="0.25">
      <c r="A497" s="150"/>
      <c r="B497" s="121"/>
      <c r="C497" s="116"/>
      <c r="D497" s="112"/>
      <c r="E497" s="139"/>
      <c r="F497" s="149"/>
      <c r="G497" s="145"/>
    </row>
    <row r="498" spans="1:7" x14ac:dyDescent="0.25">
      <c r="A498" s="150"/>
      <c r="B498" s="121"/>
      <c r="C498" s="116"/>
      <c r="D498" s="112"/>
      <c r="E498" s="139"/>
      <c r="F498" s="149"/>
      <c r="G498" s="145"/>
    </row>
    <row r="499" spans="1:7" x14ac:dyDescent="0.25">
      <c r="A499" s="150"/>
      <c r="B499" s="121"/>
      <c r="C499" s="116"/>
      <c r="D499" s="112"/>
      <c r="E499" s="139"/>
      <c r="F499" s="149"/>
      <c r="G499" s="145"/>
    </row>
    <row r="500" spans="1:7" x14ac:dyDescent="0.25">
      <c r="A500" s="150"/>
      <c r="B500" s="121"/>
      <c r="C500" s="116"/>
      <c r="D500" s="112"/>
      <c r="E500" s="139"/>
      <c r="F500" s="149"/>
      <c r="G500" s="145"/>
    </row>
    <row r="501" spans="1:7" x14ac:dyDescent="0.25">
      <c r="A501" s="150"/>
      <c r="B501" s="121"/>
      <c r="C501" s="116"/>
      <c r="D501" s="112"/>
      <c r="E501" s="139"/>
      <c r="F501" s="149"/>
      <c r="G501" s="145"/>
    </row>
    <row r="502" spans="1:7" x14ac:dyDescent="0.25">
      <c r="A502" s="150"/>
      <c r="B502" s="121"/>
      <c r="C502" s="116"/>
      <c r="D502" s="112"/>
      <c r="E502" s="139"/>
      <c r="F502" s="149"/>
      <c r="G502" s="145"/>
    </row>
    <row r="503" spans="1:7" x14ac:dyDescent="0.25">
      <c r="A503" s="150"/>
      <c r="B503" s="121"/>
      <c r="C503" s="116"/>
      <c r="D503" s="112"/>
      <c r="E503" s="139"/>
      <c r="F503" s="149"/>
      <c r="G503" s="145"/>
    </row>
    <row r="504" spans="1:7" x14ac:dyDescent="0.25">
      <c r="A504" s="150"/>
      <c r="B504" s="121"/>
      <c r="C504" s="116"/>
      <c r="D504" s="112"/>
      <c r="E504" s="139"/>
      <c r="F504" s="149"/>
      <c r="G504" s="145"/>
    </row>
    <row r="505" spans="1:7" x14ac:dyDescent="0.25">
      <c r="A505" s="150"/>
      <c r="B505" s="121"/>
      <c r="C505" s="116"/>
      <c r="D505" s="112"/>
      <c r="E505" s="139"/>
      <c r="F505" s="149"/>
      <c r="G505" s="145"/>
    </row>
    <row r="506" spans="1:7" x14ac:dyDescent="0.25">
      <c r="A506" s="150"/>
      <c r="B506" s="121"/>
      <c r="C506" s="116"/>
      <c r="D506" s="112"/>
      <c r="E506" s="139"/>
      <c r="F506" s="149"/>
      <c r="G506" s="145"/>
    </row>
    <row r="507" spans="1:7" x14ac:dyDescent="0.25">
      <c r="A507" s="150"/>
      <c r="B507" s="121"/>
      <c r="C507" s="116"/>
      <c r="D507" s="112"/>
      <c r="E507" s="139"/>
      <c r="F507" s="149"/>
      <c r="G507" s="145"/>
    </row>
    <row r="508" spans="1:7" x14ac:dyDescent="0.25">
      <c r="A508" s="150"/>
      <c r="B508" s="121"/>
      <c r="C508" s="116"/>
      <c r="D508" s="112"/>
      <c r="E508" s="139"/>
      <c r="F508" s="149"/>
      <c r="G508" s="145"/>
    </row>
    <row r="509" spans="1:7" x14ac:dyDescent="0.25">
      <c r="A509" s="150"/>
      <c r="B509" s="121"/>
      <c r="C509" s="116"/>
      <c r="D509" s="112"/>
      <c r="E509" s="139"/>
      <c r="F509" s="149"/>
      <c r="G509" s="145"/>
    </row>
    <row r="510" spans="1:7" x14ac:dyDescent="0.25">
      <c r="A510" s="150"/>
      <c r="B510" s="121"/>
      <c r="C510" s="116"/>
      <c r="D510" s="112"/>
      <c r="E510" s="139"/>
      <c r="F510" s="149"/>
      <c r="G510" s="145"/>
    </row>
    <row r="511" spans="1:7" x14ac:dyDescent="0.25">
      <c r="A511" s="150"/>
      <c r="B511" s="121"/>
      <c r="C511" s="116"/>
      <c r="D511" s="112"/>
      <c r="E511" s="139"/>
      <c r="F511" s="149"/>
      <c r="G511" s="145"/>
    </row>
    <row r="512" spans="1:7" x14ac:dyDescent="0.25">
      <c r="A512" s="150"/>
      <c r="B512" s="121"/>
      <c r="C512" s="116"/>
      <c r="D512" s="112"/>
      <c r="E512" s="139"/>
      <c r="F512" s="149"/>
      <c r="G512" s="145"/>
    </row>
    <row r="513" spans="1:7" x14ac:dyDescent="0.25">
      <c r="A513" s="150"/>
      <c r="B513" s="121"/>
      <c r="C513" s="116"/>
      <c r="D513" s="112"/>
      <c r="E513" s="139"/>
      <c r="F513" s="149"/>
      <c r="G513" s="145"/>
    </row>
    <row r="514" spans="1:7" x14ac:dyDescent="0.25">
      <c r="A514" s="150"/>
      <c r="B514" s="121"/>
      <c r="C514" s="116"/>
      <c r="D514" s="112"/>
      <c r="E514" s="139"/>
      <c r="F514" s="149"/>
      <c r="G514" s="145"/>
    </row>
    <row r="515" spans="1:7" x14ac:dyDescent="0.25">
      <c r="A515" s="150"/>
      <c r="B515" s="121"/>
      <c r="C515" s="117"/>
      <c r="D515" s="112"/>
      <c r="E515" s="139"/>
      <c r="F515" s="149"/>
      <c r="G515" s="145"/>
    </row>
    <row r="516" spans="1:7" x14ac:dyDescent="0.25">
      <c r="A516" s="150"/>
      <c r="B516" s="121"/>
      <c r="C516" s="117"/>
      <c r="D516" s="112"/>
      <c r="E516" s="139"/>
      <c r="F516" s="149"/>
      <c r="G516" s="145"/>
    </row>
    <row r="517" spans="1:7" x14ac:dyDescent="0.25">
      <c r="A517" s="150"/>
      <c r="B517" s="121"/>
      <c r="C517" s="117"/>
      <c r="D517" s="112"/>
      <c r="E517" s="139"/>
      <c r="F517" s="149"/>
      <c r="G517" s="145"/>
    </row>
    <row r="518" spans="1:7" x14ac:dyDescent="0.25">
      <c r="A518" s="150"/>
      <c r="B518" s="121"/>
      <c r="C518" s="117"/>
      <c r="D518" s="112"/>
      <c r="E518" s="139"/>
      <c r="F518" s="149"/>
      <c r="G518" s="145"/>
    </row>
    <row r="519" spans="1:7" x14ac:dyDescent="0.25">
      <c r="A519" s="150"/>
      <c r="B519" s="121"/>
      <c r="C519" s="117"/>
      <c r="D519" s="112"/>
      <c r="E519" s="139"/>
      <c r="F519" s="149"/>
      <c r="G519" s="145"/>
    </row>
    <row r="520" spans="1:7" x14ac:dyDescent="0.25">
      <c r="A520" s="150"/>
      <c r="B520" s="121"/>
      <c r="C520" s="117"/>
      <c r="D520" s="112"/>
      <c r="E520" s="139"/>
      <c r="F520" s="149"/>
      <c r="G520" s="145"/>
    </row>
    <row r="521" spans="1:7" x14ac:dyDescent="0.25">
      <c r="A521" s="150"/>
      <c r="B521" s="121"/>
      <c r="C521" s="117"/>
      <c r="D521" s="112"/>
      <c r="E521" s="139"/>
      <c r="F521" s="149"/>
      <c r="G521" s="145"/>
    </row>
    <row r="522" spans="1:7" x14ac:dyDescent="0.25">
      <c r="A522" s="143"/>
      <c r="B522" s="169"/>
      <c r="C522" s="191"/>
      <c r="D522" s="170"/>
      <c r="E522" s="197"/>
      <c r="F522" s="196"/>
      <c r="G522" s="171"/>
    </row>
  </sheetData>
  <mergeCells count="21">
    <mergeCell ref="A481:F481"/>
    <mergeCell ref="A409:F409"/>
    <mergeCell ref="A410:F410"/>
    <mergeCell ref="A450:F450"/>
    <mergeCell ref="A451:F451"/>
    <mergeCell ref="A373:F373"/>
    <mergeCell ref="A300:F300"/>
    <mergeCell ref="A339:F339"/>
    <mergeCell ref="C1:G1"/>
    <mergeCell ref="A210:F210"/>
    <mergeCell ref="A252:F252"/>
    <mergeCell ref="A253:F253"/>
    <mergeCell ref="A299:F299"/>
    <mergeCell ref="A37:F37"/>
    <mergeCell ref="A38:F38"/>
    <mergeCell ref="A81:F81"/>
    <mergeCell ref="A82:F82"/>
    <mergeCell ref="A125:F125"/>
    <mergeCell ref="A126:F126"/>
    <mergeCell ref="A163:F163"/>
    <mergeCell ref="A164:F164"/>
  </mergeCells>
  <pageMargins left="0.51181102362204722" right="0.39370078740157483" top="0.94488188976377963" bottom="0.74803149606299213" header="0.23622047244094491" footer="0.31496062992125984"/>
  <pageSetup paperSize="9" firstPageNumber="9" fitToWidth="0"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B</oddHeader>
    <oddFooter>&amp;L&amp;"Arial,Regular"&amp;9Bill of Quantities&amp;R&amp;"Arial,Regular"&amp;9BOQ.&amp;P</oddFooter>
  </headerFooter>
  <rowBreaks count="11" manualBreakCount="11">
    <brk id="37" max="6" man="1"/>
    <brk id="81" max="6" man="1"/>
    <brk id="125" max="6" man="1"/>
    <brk id="163" max="6" man="1"/>
    <brk id="210" max="6" man="1"/>
    <brk id="252" max="6" man="1"/>
    <brk id="299" max="6" man="1"/>
    <brk id="339" max="6" man="1"/>
    <brk id="373" max="6" man="1"/>
    <brk id="409" max="6" man="1"/>
    <brk id="45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FC757-2A4A-4B88-8C88-1879BBFFE726}">
  <dimension ref="A1:G905"/>
  <sheetViews>
    <sheetView view="pageBreakPreview" zoomScale="115" zoomScaleNormal="115" zoomScaleSheetLayoutView="115" workbookViewId="0">
      <selection activeCell="F14" sqref="F14"/>
    </sheetView>
  </sheetViews>
  <sheetFormatPr defaultColWidth="8" defaultRowHeight="12" x14ac:dyDescent="0.25"/>
  <cols>
    <col min="1" max="1" width="8.28515625" style="32" bestFit="1" customWidth="1"/>
    <col min="2" max="2" width="35.140625" style="21" customWidth="1"/>
    <col min="3" max="3" width="5.140625" style="32" customWidth="1"/>
    <col min="4" max="4" width="7.140625" style="59" customWidth="1"/>
    <col min="5" max="5" width="12.42578125" style="68" customWidth="1"/>
    <col min="6" max="6" width="24.85546875" style="95" customWidth="1"/>
    <col min="7" max="16384" width="8" style="21"/>
  </cols>
  <sheetData>
    <row r="1" spans="1:6" ht="15" customHeight="1" x14ac:dyDescent="0.25">
      <c r="A1" s="89"/>
      <c r="B1" s="528" t="s">
        <v>428</v>
      </c>
      <c r="C1" s="528"/>
      <c r="D1" s="528"/>
      <c r="E1" s="528"/>
      <c r="F1" s="529"/>
    </row>
    <row r="2" spans="1:6" ht="27.75" customHeight="1" x14ac:dyDescent="0.25">
      <c r="A2" s="530" t="s">
        <v>1257</v>
      </c>
      <c r="B2" s="531"/>
      <c r="C2" s="531"/>
      <c r="D2" s="531"/>
      <c r="E2" s="531"/>
      <c r="F2" s="532"/>
    </row>
    <row r="3" spans="1:6" ht="12" customHeight="1" x14ac:dyDescent="0.25">
      <c r="A3" s="535"/>
      <c r="B3" s="536"/>
      <c r="C3" s="536"/>
      <c r="D3" s="536"/>
      <c r="E3" s="536"/>
      <c r="F3" s="537"/>
    </row>
    <row r="4" spans="1:6" ht="30" customHeight="1" x14ac:dyDescent="0.25">
      <c r="A4" s="148" t="s">
        <v>1111</v>
      </c>
      <c r="B4" s="533" t="s">
        <v>0</v>
      </c>
      <c r="C4" s="533"/>
      <c r="D4" s="533"/>
      <c r="E4" s="533"/>
      <c r="F4" s="77" t="s">
        <v>77</v>
      </c>
    </row>
    <row r="5" spans="1:6" ht="9.9499999999999993" customHeight="1" x14ac:dyDescent="0.25">
      <c r="A5" s="535"/>
      <c r="B5" s="536"/>
      <c r="C5" s="536"/>
      <c r="D5" s="536"/>
      <c r="E5" s="536"/>
      <c r="F5" s="537"/>
    </row>
    <row r="6" spans="1:6" ht="39.950000000000003" customHeight="1" x14ac:dyDescent="0.25">
      <c r="A6" s="44" t="s">
        <v>133</v>
      </c>
      <c r="B6" s="534" t="s">
        <v>1012</v>
      </c>
      <c r="C6" s="534"/>
      <c r="D6" s="534"/>
      <c r="E6" s="534"/>
      <c r="F6" s="158"/>
    </row>
    <row r="7" spans="1:6" ht="9.9499999999999993" customHeight="1" x14ac:dyDescent="0.25">
      <c r="A7" s="535"/>
      <c r="B7" s="536"/>
      <c r="C7" s="536"/>
      <c r="D7" s="536"/>
      <c r="E7" s="536"/>
      <c r="F7" s="537"/>
    </row>
    <row r="8" spans="1:6" ht="39.950000000000003" customHeight="1" x14ac:dyDescent="0.25">
      <c r="A8" s="44" t="s">
        <v>423</v>
      </c>
      <c r="B8" s="534" t="s">
        <v>881</v>
      </c>
      <c r="C8" s="534"/>
      <c r="D8" s="534"/>
      <c r="E8" s="534"/>
      <c r="F8" s="158"/>
    </row>
    <row r="9" spans="1:6" ht="9.9499999999999993" customHeight="1" x14ac:dyDescent="0.25">
      <c r="A9" s="535"/>
      <c r="B9" s="536"/>
      <c r="C9" s="536"/>
      <c r="D9" s="536"/>
      <c r="E9" s="536"/>
      <c r="F9" s="537"/>
    </row>
    <row r="10" spans="1:6" ht="39.950000000000003" customHeight="1" x14ac:dyDescent="0.25">
      <c r="A10" s="44" t="s">
        <v>134</v>
      </c>
      <c r="B10" s="534" t="s">
        <v>1000</v>
      </c>
      <c r="C10" s="534"/>
      <c r="D10" s="534"/>
      <c r="E10" s="534"/>
      <c r="F10" s="299"/>
    </row>
    <row r="11" spans="1:6" ht="9.9499999999999993" customHeight="1" x14ac:dyDescent="0.25">
      <c r="A11" s="535"/>
      <c r="B11" s="536"/>
      <c r="C11" s="536"/>
      <c r="D11" s="536"/>
      <c r="E11" s="536"/>
      <c r="F11" s="537"/>
    </row>
    <row r="12" spans="1:6" ht="39.950000000000003" customHeight="1" x14ac:dyDescent="0.25">
      <c r="A12" s="44" t="s">
        <v>247</v>
      </c>
      <c r="B12" s="534" t="s">
        <v>1024</v>
      </c>
      <c r="C12" s="534"/>
      <c r="D12" s="534"/>
      <c r="E12" s="534"/>
      <c r="F12" s="298"/>
    </row>
    <row r="13" spans="1:6" ht="9.9499999999999993" customHeight="1" x14ac:dyDescent="0.25">
      <c r="A13" s="535"/>
      <c r="B13" s="536"/>
      <c r="C13" s="536"/>
      <c r="D13" s="536"/>
      <c r="E13" s="536"/>
      <c r="F13" s="537"/>
    </row>
    <row r="14" spans="1:6" ht="39.950000000000003" customHeight="1" x14ac:dyDescent="0.25">
      <c r="A14" s="41" t="s">
        <v>1175</v>
      </c>
      <c r="B14" s="526" t="s">
        <v>1258</v>
      </c>
      <c r="C14" s="526"/>
      <c r="D14" s="526"/>
      <c r="E14" s="526"/>
      <c r="F14" s="298"/>
    </row>
    <row r="15" spans="1:6" x14ac:dyDescent="0.25">
      <c r="A15" s="300"/>
      <c r="B15" s="301"/>
      <c r="C15" s="301"/>
      <c r="D15" s="301"/>
      <c r="E15" s="301"/>
      <c r="F15" s="302"/>
    </row>
    <row r="16" spans="1:6" x14ac:dyDescent="0.25">
      <c r="A16" s="300"/>
      <c r="B16" s="301"/>
      <c r="C16" s="301"/>
      <c r="D16" s="301"/>
      <c r="E16" s="301"/>
      <c r="F16" s="302"/>
    </row>
    <row r="17" spans="1:6" x14ac:dyDescent="0.25">
      <c r="A17" s="300"/>
      <c r="B17" s="301"/>
      <c r="C17" s="301"/>
      <c r="D17" s="301"/>
      <c r="E17" s="301"/>
      <c r="F17" s="302"/>
    </row>
    <row r="18" spans="1:6" x14ac:dyDescent="0.25">
      <c r="A18" s="300"/>
      <c r="B18" s="301"/>
      <c r="C18" s="301"/>
      <c r="D18" s="301"/>
      <c r="E18" s="301"/>
      <c r="F18" s="302"/>
    </row>
    <row r="19" spans="1:6" x14ac:dyDescent="0.25">
      <c r="A19" s="300"/>
      <c r="B19" s="301"/>
      <c r="C19" s="301"/>
      <c r="D19" s="301"/>
      <c r="E19" s="301"/>
      <c r="F19" s="302"/>
    </row>
    <row r="20" spans="1:6" x14ac:dyDescent="0.25">
      <c r="A20" s="300"/>
      <c r="B20" s="301"/>
      <c r="C20" s="301"/>
      <c r="D20" s="301"/>
      <c r="E20" s="301"/>
      <c r="F20" s="302"/>
    </row>
    <row r="21" spans="1:6" x14ac:dyDescent="0.25">
      <c r="A21" s="300"/>
      <c r="B21" s="301"/>
      <c r="C21" s="301"/>
      <c r="D21" s="301"/>
      <c r="E21" s="301"/>
      <c r="F21" s="302"/>
    </row>
    <row r="22" spans="1:6" x14ac:dyDescent="0.25">
      <c r="A22" s="300"/>
      <c r="B22" s="301"/>
      <c r="C22" s="301"/>
      <c r="D22" s="301"/>
      <c r="E22" s="301"/>
      <c r="F22" s="302"/>
    </row>
    <row r="23" spans="1:6" x14ac:dyDescent="0.25">
      <c r="A23" s="300"/>
      <c r="B23" s="301"/>
      <c r="C23" s="301"/>
      <c r="D23" s="301"/>
      <c r="E23" s="301"/>
      <c r="F23" s="302"/>
    </row>
    <row r="24" spans="1:6" x14ac:dyDescent="0.25">
      <c r="A24" s="300"/>
      <c r="B24" s="301"/>
      <c r="C24" s="301"/>
      <c r="D24" s="301"/>
      <c r="E24" s="301"/>
      <c r="F24" s="302"/>
    </row>
    <row r="25" spans="1:6" x14ac:dyDescent="0.25">
      <c r="A25" s="300"/>
      <c r="B25" s="301"/>
      <c r="C25" s="301"/>
      <c r="D25" s="301"/>
      <c r="E25" s="301"/>
      <c r="F25" s="302"/>
    </row>
    <row r="26" spans="1:6" x14ac:dyDescent="0.25">
      <c r="A26" s="300"/>
      <c r="B26" s="301"/>
      <c r="C26" s="301"/>
      <c r="D26" s="301"/>
      <c r="E26" s="301"/>
      <c r="F26" s="302"/>
    </row>
    <row r="27" spans="1:6" x14ac:dyDescent="0.25">
      <c r="A27" s="300"/>
      <c r="B27" s="301"/>
      <c r="C27" s="301"/>
      <c r="D27" s="301"/>
      <c r="E27" s="301"/>
      <c r="F27" s="302"/>
    </row>
    <row r="28" spans="1:6" x14ac:dyDescent="0.25">
      <c r="A28" s="300"/>
      <c r="B28" s="301"/>
      <c r="C28" s="301"/>
      <c r="D28" s="301"/>
      <c r="E28" s="301"/>
      <c r="F28" s="302"/>
    </row>
    <row r="29" spans="1:6" x14ac:dyDescent="0.25">
      <c r="A29" s="300"/>
      <c r="B29" s="301"/>
      <c r="C29" s="301"/>
      <c r="D29" s="301"/>
      <c r="E29" s="301"/>
      <c r="F29" s="302"/>
    </row>
    <row r="30" spans="1:6" ht="12" customHeight="1" x14ac:dyDescent="0.25">
      <c r="A30" s="303"/>
      <c r="B30" s="304"/>
      <c r="C30" s="35"/>
      <c r="D30" s="305"/>
      <c r="E30" s="306"/>
      <c r="F30" s="302"/>
    </row>
    <row r="31" spans="1:6" ht="12" customHeight="1" x14ac:dyDescent="0.25">
      <c r="A31" s="303"/>
      <c r="B31" s="304"/>
      <c r="C31" s="35"/>
      <c r="D31" s="305"/>
      <c r="E31" s="306"/>
      <c r="F31" s="302"/>
    </row>
    <row r="32" spans="1:6" ht="12" customHeight="1" x14ac:dyDescent="0.25">
      <c r="A32" s="303"/>
      <c r="B32" s="304"/>
      <c r="C32" s="35"/>
      <c r="D32" s="305"/>
      <c r="E32" s="306"/>
      <c r="F32" s="302"/>
    </row>
    <row r="33" spans="1:6" ht="12" customHeight="1" x14ac:dyDescent="0.25">
      <c r="A33" s="303"/>
      <c r="B33" s="304"/>
      <c r="C33" s="35"/>
      <c r="D33" s="305"/>
      <c r="E33" s="306"/>
      <c r="F33" s="302"/>
    </row>
    <row r="34" spans="1:6" ht="12" customHeight="1" x14ac:dyDescent="0.25">
      <c r="A34" s="303"/>
      <c r="B34" s="304"/>
      <c r="C34" s="35"/>
      <c r="D34" s="305"/>
      <c r="E34" s="306"/>
      <c r="F34" s="302"/>
    </row>
    <row r="35" spans="1:6" ht="12" customHeight="1" x14ac:dyDescent="0.25">
      <c r="A35" s="303"/>
      <c r="B35" s="304"/>
      <c r="C35" s="35"/>
      <c r="D35" s="305"/>
      <c r="E35" s="306"/>
      <c r="F35" s="302"/>
    </row>
    <row r="36" spans="1:6" ht="12" customHeight="1" x14ac:dyDescent="0.25">
      <c r="A36" s="303"/>
      <c r="B36" s="304"/>
      <c r="C36" s="35"/>
      <c r="D36" s="305"/>
      <c r="E36" s="306"/>
      <c r="F36" s="302"/>
    </row>
    <row r="37" spans="1:6" ht="12" customHeight="1" x14ac:dyDescent="0.25">
      <c r="A37" s="303"/>
      <c r="B37" s="304"/>
      <c r="C37" s="35"/>
      <c r="D37" s="305"/>
      <c r="E37" s="306"/>
      <c r="F37" s="302"/>
    </row>
    <row r="38" spans="1:6" ht="12" customHeight="1" x14ac:dyDescent="0.25">
      <c r="A38" s="303"/>
      <c r="B38" s="304"/>
      <c r="C38" s="35"/>
      <c r="D38" s="305"/>
      <c r="E38" s="306"/>
      <c r="F38" s="302"/>
    </row>
    <row r="39" spans="1:6" ht="12" customHeight="1" x14ac:dyDescent="0.25">
      <c r="A39" s="303"/>
      <c r="B39" s="304"/>
      <c r="C39" s="35"/>
      <c r="D39" s="305"/>
      <c r="E39" s="306"/>
      <c r="F39" s="302"/>
    </row>
    <row r="40" spans="1:6" ht="12" customHeight="1" x14ac:dyDescent="0.25">
      <c r="A40" s="303"/>
      <c r="B40" s="304"/>
      <c r="C40" s="35"/>
      <c r="D40" s="305"/>
      <c r="E40" s="306"/>
      <c r="F40" s="302"/>
    </row>
    <row r="41" spans="1:6" ht="12" customHeight="1" x14ac:dyDescent="0.25">
      <c r="A41" s="303"/>
      <c r="B41" s="304"/>
      <c r="C41" s="35"/>
      <c r="D41" s="305"/>
      <c r="E41" s="306"/>
      <c r="F41" s="302"/>
    </row>
    <row r="42" spans="1:6" ht="12" customHeight="1" x14ac:dyDescent="0.25">
      <c r="A42" s="303"/>
      <c r="B42" s="304"/>
      <c r="C42" s="35"/>
      <c r="D42" s="305"/>
      <c r="E42" s="306"/>
      <c r="F42" s="302"/>
    </row>
    <row r="43" spans="1:6" ht="12" customHeight="1" x14ac:dyDescent="0.25">
      <c r="A43" s="303"/>
      <c r="B43" s="304"/>
      <c r="C43" s="35"/>
      <c r="D43" s="305"/>
      <c r="E43" s="306"/>
      <c r="F43" s="302"/>
    </row>
    <row r="44" spans="1:6" ht="12" customHeight="1" x14ac:dyDescent="0.25">
      <c r="A44" s="303"/>
      <c r="B44" s="304"/>
      <c r="C44" s="35"/>
      <c r="D44" s="305"/>
      <c r="E44" s="306"/>
      <c r="F44" s="302"/>
    </row>
    <row r="45" spans="1:6" ht="12" customHeight="1" x14ac:dyDescent="0.25">
      <c r="A45" s="303"/>
      <c r="B45" s="304"/>
      <c r="C45" s="35"/>
      <c r="D45" s="305"/>
      <c r="E45" s="306"/>
      <c r="F45" s="302"/>
    </row>
    <row r="46" spans="1:6" ht="12" customHeight="1" x14ac:dyDescent="0.25">
      <c r="A46" s="303"/>
      <c r="B46" s="39"/>
      <c r="C46" s="35"/>
      <c r="D46" s="307"/>
      <c r="E46" s="308"/>
      <c r="F46" s="309"/>
    </row>
    <row r="47" spans="1:6" ht="12" customHeight="1" x14ac:dyDescent="0.25">
      <c r="A47" s="303"/>
      <c r="B47" s="39"/>
      <c r="C47" s="35"/>
      <c r="D47" s="307"/>
      <c r="E47" s="308"/>
      <c r="F47" s="309"/>
    </row>
    <row r="48" spans="1:6" ht="12" customHeight="1" x14ac:dyDescent="0.25">
      <c r="A48" s="303"/>
      <c r="B48" s="304"/>
      <c r="C48" s="35"/>
      <c r="D48" s="307"/>
      <c r="E48" s="308"/>
      <c r="F48" s="309"/>
    </row>
    <row r="49" spans="1:7" ht="12" customHeight="1" x14ac:dyDescent="0.25">
      <c r="A49" s="303"/>
      <c r="B49" s="310"/>
      <c r="C49" s="35"/>
      <c r="D49" s="307"/>
      <c r="E49" s="308"/>
      <c r="F49" s="309"/>
    </row>
    <row r="50" spans="1:7" ht="12" customHeight="1" x14ac:dyDescent="0.25">
      <c r="A50" s="303"/>
      <c r="B50" s="311"/>
      <c r="C50" s="35"/>
      <c r="D50" s="307"/>
      <c r="E50" s="308"/>
      <c r="F50" s="309"/>
    </row>
    <row r="51" spans="1:7" s="32" customFormat="1" ht="15" customHeight="1" x14ac:dyDescent="0.25">
      <c r="B51" s="39"/>
      <c r="D51" s="59"/>
      <c r="E51" s="68"/>
      <c r="F51" s="95"/>
      <c r="G51" s="21"/>
    </row>
    <row r="52" spans="1:7" s="32" customFormat="1" ht="15" customHeight="1" x14ac:dyDescent="0.25">
      <c r="B52" s="39"/>
      <c r="D52" s="59"/>
      <c r="E52" s="68"/>
      <c r="F52" s="95"/>
      <c r="G52" s="21"/>
    </row>
    <row r="53" spans="1:7" s="32" customFormat="1" ht="15" customHeight="1" x14ac:dyDescent="0.25">
      <c r="B53" s="39"/>
      <c r="D53" s="59"/>
      <c r="E53" s="68"/>
      <c r="F53" s="95"/>
      <c r="G53" s="21"/>
    </row>
    <row r="54" spans="1:7" s="32" customFormat="1" ht="15" customHeight="1" x14ac:dyDescent="0.25">
      <c r="B54" s="39"/>
      <c r="D54" s="59"/>
      <c r="E54" s="68"/>
      <c r="F54" s="95"/>
      <c r="G54" s="21"/>
    </row>
    <row r="55" spans="1:7" s="32" customFormat="1" ht="15" customHeight="1" x14ac:dyDescent="0.25">
      <c r="B55" s="39"/>
      <c r="D55" s="59"/>
      <c r="E55" s="68"/>
      <c r="F55" s="95"/>
      <c r="G55" s="21"/>
    </row>
    <row r="56" spans="1:7" s="32" customFormat="1" ht="15" customHeight="1" x14ac:dyDescent="0.25">
      <c r="B56" s="39"/>
      <c r="D56" s="59"/>
      <c r="E56" s="68"/>
      <c r="F56" s="95"/>
      <c r="G56" s="21"/>
    </row>
    <row r="57" spans="1:7" s="32" customFormat="1" ht="15" customHeight="1" x14ac:dyDescent="0.25">
      <c r="B57" s="39"/>
      <c r="D57" s="59"/>
      <c r="E57" s="68"/>
      <c r="F57" s="95"/>
      <c r="G57" s="21"/>
    </row>
    <row r="58" spans="1:7" s="32" customFormat="1" ht="15" customHeight="1" x14ac:dyDescent="0.25">
      <c r="B58" s="39"/>
      <c r="D58" s="59"/>
      <c r="E58" s="68"/>
      <c r="F58" s="95"/>
      <c r="G58" s="21"/>
    </row>
    <row r="59" spans="1:7" s="32" customFormat="1" ht="15" customHeight="1" x14ac:dyDescent="0.25">
      <c r="B59" s="39"/>
      <c r="D59" s="59"/>
      <c r="E59" s="68"/>
      <c r="F59" s="95"/>
      <c r="G59" s="21"/>
    </row>
    <row r="60" spans="1:7" s="32" customFormat="1" ht="15" customHeight="1" x14ac:dyDescent="0.25">
      <c r="B60" s="39"/>
      <c r="D60" s="59"/>
      <c r="E60" s="68"/>
      <c r="F60" s="95"/>
      <c r="G60" s="21"/>
    </row>
    <row r="61" spans="1:7" s="32" customFormat="1" ht="15" customHeight="1" x14ac:dyDescent="0.25">
      <c r="B61" s="39"/>
      <c r="D61" s="59"/>
      <c r="E61" s="68"/>
      <c r="F61" s="95"/>
      <c r="G61" s="21"/>
    </row>
    <row r="62" spans="1:7" s="32" customFormat="1" ht="15" customHeight="1" x14ac:dyDescent="0.25">
      <c r="B62" s="39"/>
      <c r="D62" s="59"/>
      <c r="E62" s="68"/>
      <c r="F62" s="95"/>
      <c r="G62" s="21"/>
    </row>
    <row r="63" spans="1:7" s="32" customFormat="1" ht="15" customHeight="1" x14ac:dyDescent="0.25">
      <c r="B63" s="39"/>
      <c r="D63" s="59"/>
      <c r="E63" s="68"/>
      <c r="F63" s="95"/>
      <c r="G63" s="21"/>
    </row>
    <row r="64" spans="1:7" s="32" customFormat="1" ht="15" customHeight="1" x14ac:dyDescent="0.25">
      <c r="B64" s="39"/>
      <c r="D64" s="59"/>
      <c r="E64" s="68"/>
      <c r="F64" s="95"/>
      <c r="G64" s="21"/>
    </row>
    <row r="65" spans="2:7" s="32" customFormat="1" ht="15" customHeight="1" x14ac:dyDescent="0.25">
      <c r="B65" s="39"/>
      <c r="D65" s="59"/>
      <c r="E65" s="68"/>
      <c r="F65" s="95"/>
      <c r="G65" s="21"/>
    </row>
    <row r="66" spans="2:7" s="32" customFormat="1" ht="15" customHeight="1" x14ac:dyDescent="0.25">
      <c r="B66" s="39"/>
      <c r="D66" s="59"/>
      <c r="E66" s="68"/>
      <c r="F66" s="95"/>
      <c r="G66" s="21"/>
    </row>
    <row r="67" spans="2:7" s="32" customFormat="1" ht="15" customHeight="1" x14ac:dyDescent="0.25">
      <c r="B67" s="39"/>
      <c r="D67" s="59"/>
      <c r="E67" s="68"/>
      <c r="F67" s="95"/>
      <c r="G67" s="21"/>
    </row>
    <row r="68" spans="2:7" s="32" customFormat="1" ht="15" customHeight="1" x14ac:dyDescent="0.25">
      <c r="B68" s="39"/>
      <c r="D68" s="59"/>
      <c r="E68" s="68"/>
      <c r="F68" s="95"/>
      <c r="G68" s="21"/>
    </row>
    <row r="69" spans="2:7" s="32" customFormat="1" ht="15" customHeight="1" x14ac:dyDescent="0.25">
      <c r="B69" s="39"/>
      <c r="D69" s="59"/>
      <c r="E69" s="68"/>
      <c r="F69" s="95"/>
      <c r="G69" s="21"/>
    </row>
    <row r="70" spans="2:7" s="32" customFormat="1" ht="15" customHeight="1" x14ac:dyDescent="0.25">
      <c r="B70" s="39"/>
      <c r="D70" s="59"/>
      <c r="E70" s="68"/>
      <c r="F70" s="95"/>
      <c r="G70" s="21"/>
    </row>
    <row r="71" spans="2:7" s="32" customFormat="1" ht="15" customHeight="1" x14ac:dyDescent="0.25">
      <c r="B71" s="39"/>
      <c r="D71" s="59"/>
      <c r="E71" s="68"/>
      <c r="F71" s="95"/>
      <c r="G71" s="21"/>
    </row>
    <row r="72" spans="2:7" s="32" customFormat="1" ht="15" customHeight="1" x14ac:dyDescent="0.25">
      <c r="B72" s="39"/>
      <c r="D72" s="59"/>
      <c r="E72" s="68"/>
      <c r="F72" s="95"/>
      <c r="G72" s="21"/>
    </row>
    <row r="73" spans="2:7" s="32" customFormat="1" ht="15" customHeight="1" x14ac:dyDescent="0.25">
      <c r="B73" s="39"/>
      <c r="D73" s="59"/>
      <c r="E73" s="68"/>
      <c r="F73" s="95"/>
      <c r="G73" s="21"/>
    </row>
    <row r="74" spans="2:7" s="32" customFormat="1" ht="15" customHeight="1" x14ac:dyDescent="0.25">
      <c r="B74" s="39"/>
      <c r="D74" s="59"/>
      <c r="E74" s="68"/>
      <c r="F74" s="95"/>
      <c r="G74" s="21"/>
    </row>
    <row r="75" spans="2:7" s="32" customFormat="1" ht="15" customHeight="1" x14ac:dyDescent="0.25">
      <c r="B75" s="39"/>
      <c r="D75" s="59"/>
      <c r="E75" s="68"/>
      <c r="F75" s="95"/>
      <c r="G75" s="21"/>
    </row>
    <row r="76" spans="2:7" s="32" customFormat="1" ht="15" customHeight="1" x14ac:dyDescent="0.25">
      <c r="B76" s="39"/>
      <c r="D76" s="59"/>
      <c r="E76" s="68"/>
      <c r="F76" s="95"/>
      <c r="G76" s="21"/>
    </row>
    <row r="77" spans="2:7" s="32" customFormat="1" ht="15" customHeight="1" x14ac:dyDescent="0.25">
      <c r="B77" s="39"/>
      <c r="D77" s="59"/>
      <c r="E77" s="68"/>
      <c r="F77" s="95"/>
      <c r="G77" s="21"/>
    </row>
    <row r="78" spans="2:7" s="32" customFormat="1" ht="15" customHeight="1" x14ac:dyDescent="0.25">
      <c r="B78" s="39"/>
      <c r="D78" s="59"/>
      <c r="E78" s="68"/>
      <c r="F78" s="95"/>
      <c r="G78" s="21"/>
    </row>
    <row r="79" spans="2:7" s="32" customFormat="1" ht="15" customHeight="1" x14ac:dyDescent="0.25">
      <c r="B79" s="39"/>
      <c r="D79" s="59"/>
      <c r="E79" s="68"/>
      <c r="F79" s="95"/>
      <c r="G79" s="21"/>
    </row>
    <row r="80" spans="2:7" s="32" customFormat="1" ht="15" customHeight="1" x14ac:dyDescent="0.25">
      <c r="B80" s="39"/>
      <c r="D80" s="59"/>
      <c r="E80" s="68"/>
      <c r="F80" s="95"/>
      <c r="G80" s="21"/>
    </row>
    <row r="81" spans="2:7" s="32" customFormat="1" ht="15" customHeight="1" x14ac:dyDescent="0.25">
      <c r="B81" s="39"/>
      <c r="D81" s="59"/>
      <c r="E81" s="68"/>
      <c r="F81" s="95"/>
      <c r="G81" s="21"/>
    </row>
    <row r="82" spans="2:7" s="32" customFormat="1" ht="15" customHeight="1" x14ac:dyDescent="0.25">
      <c r="B82" s="39"/>
      <c r="D82" s="59"/>
      <c r="E82" s="68"/>
      <c r="F82" s="95"/>
      <c r="G82" s="21"/>
    </row>
    <row r="83" spans="2:7" s="32" customFormat="1" ht="15" customHeight="1" x14ac:dyDescent="0.25">
      <c r="B83" s="39"/>
      <c r="D83" s="59"/>
      <c r="E83" s="68"/>
      <c r="F83" s="95"/>
      <c r="G83" s="21"/>
    </row>
    <row r="84" spans="2:7" s="32" customFormat="1" ht="15" customHeight="1" x14ac:dyDescent="0.25">
      <c r="B84" s="39"/>
      <c r="D84" s="59"/>
      <c r="E84" s="68"/>
      <c r="F84" s="95"/>
      <c r="G84" s="21"/>
    </row>
    <row r="85" spans="2:7" s="32" customFormat="1" ht="15" customHeight="1" x14ac:dyDescent="0.25">
      <c r="B85" s="39"/>
      <c r="D85" s="59"/>
      <c r="E85" s="68"/>
      <c r="F85" s="95"/>
      <c r="G85" s="21"/>
    </row>
    <row r="86" spans="2:7" s="32" customFormat="1" ht="15" customHeight="1" x14ac:dyDescent="0.25">
      <c r="B86" s="39"/>
      <c r="D86" s="59"/>
      <c r="E86" s="68"/>
      <c r="F86" s="95"/>
      <c r="G86" s="21"/>
    </row>
    <row r="87" spans="2:7" s="32" customFormat="1" ht="15" customHeight="1" x14ac:dyDescent="0.25">
      <c r="B87" s="39"/>
      <c r="D87" s="59"/>
      <c r="E87" s="68"/>
      <c r="F87" s="95"/>
      <c r="G87" s="21"/>
    </row>
    <row r="88" spans="2:7" s="32" customFormat="1" ht="15" customHeight="1" x14ac:dyDescent="0.25">
      <c r="B88" s="39"/>
      <c r="D88" s="59"/>
      <c r="E88" s="68"/>
      <c r="F88" s="95"/>
      <c r="G88" s="21"/>
    </row>
    <row r="89" spans="2:7" s="32" customFormat="1" ht="15" customHeight="1" x14ac:dyDescent="0.25">
      <c r="B89" s="39"/>
      <c r="D89" s="59"/>
      <c r="E89" s="68"/>
      <c r="F89" s="95"/>
      <c r="G89" s="21"/>
    </row>
    <row r="90" spans="2:7" s="32" customFormat="1" ht="15" customHeight="1" x14ac:dyDescent="0.25">
      <c r="B90" s="39"/>
      <c r="D90" s="59"/>
      <c r="E90" s="68"/>
      <c r="F90" s="95"/>
      <c r="G90" s="21"/>
    </row>
    <row r="91" spans="2:7" s="32" customFormat="1" ht="15" customHeight="1" x14ac:dyDescent="0.25">
      <c r="B91" s="39"/>
      <c r="D91" s="59"/>
      <c r="E91" s="68"/>
      <c r="F91" s="95"/>
      <c r="G91" s="21"/>
    </row>
    <row r="92" spans="2:7" s="32" customFormat="1" ht="15" customHeight="1" x14ac:dyDescent="0.25">
      <c r="B92" s="39"/>
      <c r="D92" s="59"/>
      <c r="E92" s="68"/>
      <c r="F92" s="95"/>
      <c r="G92" s="21"/>
    </row>
    <row r="93" spans="2:7" s="32" customFormat="1" ht="15" customHeight="1" x14ac:dyDescent="0.25">
      <c r="B93" s="39"/>
      <c r="D93" s="59"/>
      <c r="E93" s="68"/>
      <c r="F93" s="95"/>
      <c r="G93" s="21"/>
    </row>
    <row r="94" spans="2:7" s="32" customFormat="1" ht="15" customHeight="1" x14ac:dyDescent="0.25">
      <c r="B94" s="39"/>
      <c r="D94" s="59"/>
      <c r="E94" s="68"/>
      <c r="F94" s="95"/>
      <c r="G94" s="21"/>
    </row>
    <row r="95" spans="2:7" s="32" customFormat="1" ht="15" customHeight="1" x14ac:dyDescent="0.25">
      <c r="B95" s="39"/>
      <c r="D95" s="59"/>
      <c r="E95" s="68"/>
      <c r="F95" s="95"/>
      <c r="G95" s="21"/>
    </row>
    <row r="96" spans="2:7" s="32" customFormat="1" ht="15" customHeight="1" x14ac:dyDescent="0.25">
      <c r="B96" s="39"/>
      <c r="D96" s="59"/>
      <c r="E96" s="68"/>
      <c r="F96" s="95"/>
      <c r="G96" s="21"/>
    </row>
    <row r="97" spans="2:7" s="32" customFormat="1" ht="15" customHeight="1" x14ac:dyDescent="0.25">
      <c r="B97" s="39"/>
      <c r="D97" s="59"/>
      <c r="E97" s="68"/>
      <c r="F97" s="95"/>
      <c r="G97" s="21"/>
    </row>
    <row r="98" spans="2:7" s="32" customFormat="1" ht="15" customHeight="1" x14ac:dyDescent="0.25">
      <c r="B98" s="39"/>
      <c r="D98" s="59"/>
      <c r="E98" s="68"/>
      <c r="F98" s="95"/>
      <c r="G98" s="21"/>
    </row>
    <row r="99" spans="2:7" s="32" customFormat="1" ht="15" customHeight="1" x14ac:dyDescent="0.25">
      <c r="B99" s="39"/>
      <c r="D99" s="59"/>
      <c r="E99" s="68"/>
      <c r="F99" s="95"/>
      <c r="G99" s="21"/>
    </row>
    <row r="100" spans="2:7" s="32" customFormat="1" ht="15" customHeight="1" x14ac:dyDescent="0.25">
      <c r="B100" s="39"/>
      <c r="D100" s="59"/>
      <c r="E100" s="68"/>
      <c r="F100" s="95"/>
      <c r="G100" s="21"/>
    </row>
    <row r="101" spans="2:7" s="32" customFormat="1" ht="15" customHeight="1" x14ac:dyDescent="0.25">
      <c r="B101" s="39"/>
      <c r="D101" s="59"/>
      <c r="E101" s="68"/>
      <c r="F101" s="95"/>
      <c r="G101" s="21"/>
    </row>
    <row r="102" spans="2:7" s="32" customFormat="1" ht="15" customHeight="1" x14ac:dyDescent="0.25">
      <c r="B102" s="39"/>
      <c r="D102" s="59"/>
      <c r="E102" s="68"/>
      <c r="F102" s="95"/>
      <c r="G102" s="21"/>
    </row>
    <row r="103" spans="2:7" s="32" customFormat="1" ht="15" customHeight="1" x14ac:dyDescent="0.25">
      <c r="B103" s="39"/>
      <c r="D103" s="59"/>
      <c r="E103" s="68"/>
      <c r="F103" s="95"/>
      <c r="G103" s="21"/>
    </row>
    <row r="104" spans="2:7" s="32" customFormat="1" ht="15" customHeight="1" x14ac:dyDescent="0.25">
      <c r="B104" s="39"/>
      <c r="D104" s="59"/>
      <c r="E104" s="68"/>
      <c r="F104" s="95"/>
      <c r="G104" s="21"/>
    </row>
    <row r="105" spans="2:7" s="32" customFormat="1" ht="15" customHeight="1" x14ac:dyDescent="0.25">
      <c r="B105" s="39"/>
      <c r="D105" s="59"/>
      <c r="E105" s="68"/>
      <c r="F105" s="95"/>
      <c r="G105" s="21"/>
    </row>
    <row r="106" spans="2:7" s="32" customFormat="1" ht="15" customHeight="1" x14ac:dyDescent="0.25">
      <c r="B106" s="39"/>
      <c r="D106" s="59"/>
      <c r="E106" s="68"/>
      <c r="F106" s="95"/>
      <c r="G106" s="21"/>
    </row>
    <row r="107" spans="2:7" s="32" customFormat="1" ht="15" customHeight="1" x14ac:dyDescent="0.25">
      <c r="B107" s="39"/>
      <c r="D107" s="59"/>
      <c r="E107" s="68"/>
      <c r="F107" s="95"/>
      <c r="G107" s="21"/>
    </row>
    <row r="108" spans="2:7" s="32" customFormat="1" ht="15" customHeight="1" x14ac:dyDescent="0.25">
      <c r="B108" s="39"/>
      <c r="D108" s="59"/>
      <c r="E108" s="68"/>
      <c r="F108" s="95"/>
      <c r="G108" s="21"/>
    </row>
    <row r="109" spans="2:7" s="32" customFormat="1" ht="15" customHeight="1" x14ac:dyDescent="0.25">
      <c r="B109" s="39"/>
      <c r="D109" s="59"/>
      <c r="E109" s="68"/>
      <c r="F109" s="95"/>
      <c r="G109" s="21"/>
    </row>
    <row r="110" spans="2:7" s="32" customFormat="1" ht="15" customHeight="1" x14ac:dyDescent="0.25">
      <c r="B110" s="39"/>
      <c r="D110" s="59"/>
      <c r="E110" s="68"/>
      <c r="F110" s="95"/>
      <c r="G110" s="21"/>
    </row>
    <row r="111" spans="2:7" s="32" customFormat="1" ht="15" customHeight="1" x14ac:dyDescent="0.25">
      <c r="B111" s="39"/>
      <c r="D111" s="59"/>
      <c r="E111" s="68"/>
      <c r="F111" s="95"/>
      <c r="G111" s="21"/>
    </row>
    <row r="112" spans="2:7" s="32" customFormat="1" ht="15" customHeight="1" x14ac:dyDescent="0.25">
      <c r="B112" s="39"/>
      <c r="D112" s="59"/>
      <c r="E112" s="68"/>
      <c r="F112" s="95"/>
      <c r="G112" s="21"/>
    </row>
    <row r="113" spans="2:7" s="32" customFormat="1" ht="15" customHeight="1" x14ac:dyDescent="0.25">
      <c r="B113" s="39"/>
      <c r="D113" s="59"/>
      <c r="E113" s="68"/>
      <c r="F113" s="95"/>
      <c r="G113" s="21"/>
    </row>
    <row r="114" spans="2:7" s="32" customFormat="1" ht="15" customHeight="1" x14ac:dyDescent="0.25">
      <c r="B114" s="39"/>
      <c r="D114" s="59"/>
      <c r="E114" s="68"/>
      <c r="F114" s="95"/>
      <c r="G114" s="21"/>
    </row>
    <row r="115" spans="2:7" s="32" customFormat="1" ht="15" customHeight="1" x14ac:dyDescent="0.25">
      <c r="B115" s="39"/>
      <c r="D115" s="59"/>
      <c r="E115" s="68"/>
      <c r="F115" s="95"/>
      <c r="G115" s="21"/>
    </row>
    <row r="116" spans="2:7" s="32" customFormat="1" ht="15" customHeight="1" x14ac:dyDescent="0.25">
      <c r="B116" s="39"/>
      <c r="D116" s="59"/>
      <c r="E116" s="68"/>
      <c r="F116" s="95"/>
      <c r="G116" s="21"/>
    </row>
    <row r="117" spans="2:7" s="32" customFormat="1" ht="15" customHeight="1" x14ac:dyDescent="0.25">
      <c r="B117" s="39"/>
      <c r="D117" s="59"/>
      <c r="E117" s="68"/>
      <c r="F117" s="95"/>
      <c r="G117" s="21"/>
    </row>
    <row r="118" spans="2:7" s="32" customFormat="1" ht="15" customHeight="1" x14ac:dyDescent="0.25">
      <c r="B118" s="39"/>
      <c r="D118" s="59"/>
      <c r="E118" s="68"/>
      <c r="F118" s="95"/>
      <c r="G118" s="21"/>
    </row>
    <row r="119" spans="2:7" s="32" customFormat="1" ht="15" customHeight="1" x14ac:dyDescent="0.25">
      <c r="B119" s="39"/>
      <c r="D119" s="59"/>
      <c r="E119" s="68"/>
      <c r="F119" s="95"/>
      <c r="G119" s="21"/>
    </row>
    <row r="120" spans="2:7" s="32" customFormat="1" ht="15" customHeight="1" x14ac:dyDescent="0.25">
      <c r="B120" s="39"/>
      <c r="D120" s="59"/>
      <c r="E120" s="68"/>
      <c r="F120" s="95"/>
      <c r="G120" s="21"/>
    </row>
    <row r="121" spans="2:7" s="32" customFormat="1" ht="15" customHeight="1" x14ac:dyDescent="0.25">
      <c r="B121" s="39"/>
      <c r="D121" s="59"/>
      <c r="E121" s="68"/>
      <c r="F121" s="95"/>
      <c r="G121" s="21"/>
    </row>
    <row r="122" spans="2:7" s="32" customFormat="1" ht="15" customHeight="1" x14ac:dyDescent="0.25">
      <c r="B122" s="39"/>
      <c r="D122" s="59"/>
      <c r="E122" s="68"/>
      <c r="F122" s="95"/>
      <c r="G122" s="21"/>
    </row>
    <row r="123" spans="2:7" s="32" customFormat="1" ht="15" customHeight="1" x14ac:dyDescent="0.25">
      <c r="B123" s="39"/>
      <c r="D123" s="59"/>
      <c r="E123" s="68"/>
      <c r="F123" s="95"/>
      <c r="G123" s="21"/>
    </row>
    <row r="124" spans="2:7" s="32" customFormat="1" ht="15" customHeight="1" x14ac:dyDescent="0.25">
      <c r="B124" s="39"/>
      <c r="D124" s="59"/>
      <c r="E124" s="68"/>
      <c r="F124" s="95"/>
      <c r="G124" s="21"/>
    </row>
    <row r="125" spans="2:7" s="32" customFormat="1" ht="15" customHeight="1" x14ac:dyDescent="0.25">
      <c r="B125" s="39"/>
      <c r="D125" s="59"/>
      <c r="E125" s="68"/>
      <c r="F125" s="95"/>
      <c r="G125" s="21"/>
    </row>
    <row r="126" spans="2:7" s="32" customFormat="1" ht="15" customHeight="1" x14ac:dyDescent="0.25">
      <c r="B126" s="39"/>
      <c r="D126" s="59"/>
      <c r="E126" s="68"/>
      <c r="F126" s="95"/>
      <c r="G126" s="21"/>
    </row>
    <row r="127" spans="2:7" s="32" customFormat="1" ht="15" customHeight="1" x14ac:dyDescent="0.25">
      <c r="B127" s="39"/>
      <c r="D127" s="59"/>
      <c r="E127" s="68"/>
      <c r="F127" s="95"/>
      <c r="G127" s="21"/>
    </row>
    <row r="128" spans="2:7" s="32" customFormat="1" ht="15" customHeight="1" x14ac:dyDescent="0.25">
      <c r="B128" s="39"/>
      <c r="D128" s="59"/>
      <c r="E128" s="68"/>
      <c r="F128" s="95"/>
      <c r="G128" s="21"/>
    </row>
    <row r="129" spans="2:7" s="32" customFormat="1" ht="15" customHeight="1" x14ac:dyDescent="0.25">
      <c r="B129" s="39"/>
      <c r="D129" s="59"/>
      <c r="E129" s="68"/>
      <c r="F129" s="95"/>
      <c r="G129" s="21"/>
    </row>
    <row r="130" spans="2:7" s="32" customFormat="1" ht="15" customHeight="1" x14ac:dyDescent="0.25">
      <c r="B130" s="39"/>
      <c r="D130" s="59"/>
      <c r="E130" s="68"/>
      <c r="F130" s="95"/>
      <c r="G130" s="21"/>
    </row>
    <row r="131" spans="2:7" s="32" customFormat="1" ht="15" customHeight="1" x14ac:dyDescent="0.25">
      <c r="B131" s="39"/>
      <c r="D131" s="59"/>
      <c r="E131" s="68"/>
      <c r="F131" s="95"/>
      <c r="G131" s="21"/>
    </row>
    <row r="132" spans="2:7" s="32" customFormat="1" ht="15" customHeight="1" x14ac:dyDescent="0.25">
      <c r="B132" s="39"/>
      <c r="D132" s="59"/>
      <c r="E132" s="68"/>
      <c r="F132" s="95"/>
      <c r="G132" s="21"/>
    </row>
    <row r="133" spans="2:7" s="32" customFormat="1" ht="15" customHeight="1" x14ac:dyDescent="0.25">
      <c r="B133" s="39"/>
      <c r="D133" s="59"/>
      <c r="E133" s="68"/>
      <c r="F133" s="95"/>
      <c r="G133" s="21"/>
    </row>
    <row r="134" spans="2:7" s="32" customFormat="1" ht="15" customHeight="1" x14ac:dyDescent="0.25">
      <c r="B134" s="39"/>
      <c r="D134" s="59"/>
      <c r="E134" s="68"/>
      <c r="F134" s="95"/>
      <c r="G134" s="21"/>
    </row>
    <row r="135" spans="2:7" s="32" customFormat="1" ht="15" customHeight="1" x14ac:dyDescent="0.25">
      <c r="B135" s="39"/>
      <c r="D135" s="59"/>
      <c r="E135" s="68"/>
      <c r="F135" s="95"/>
      <c r="G135" s="21"/>
    </row>
    <row r="136" spans="2:7" s="32" customFormat="1" ht="15" customHeight="1" x14ac:dyDescent="0.25">
      <c r="B136" s="39"/>
      <c r="D136" s="59"/>
      <c r="E136" s="68"/>
      <c r="F136" s="95"/>
      <c r="G136" s="21"/>
    </row>
    <row r="137" spans="2:7" s="32" customFormat="1" ht="15" customHeight="1" x14ac:dyDescent="0.25">
      <c r="B137" s="39"/>
      <c r="D137" s="59"/>
      <c r="E137" s="68"/>
      <c r="F137" s="95"/>
      <c r="G137" s="21"/>
    </row>
    <row r="138" spans="2:7" s="32" customFormat="1" ht="15" customHeight="1" x14ac:dyDescent="0.25">
      <c r="B138" s="39"/>
      <c r="D138" s="59"/>
      <c r="E138" s="68"/>
      <c r="F138" s="95"/>
      <c r="G138" s="21"/>
    </row>
    <row r="139" spans="2:7" s="32" customFormat="1" ht="15" customHeight="1" x14ac:dyDescent="0.25">
      <c r="B139" s="39"/>
      <c r="D139" s="59"/>
      <c r="E139" s="68"/>
      <c r="F139" s="95"/>
      <c r="G139" s="21"/>
    </row>
    <row r="140" spans="2:7" s="32" customFormat="1" ht="15" customHeight="1" x14ac:dyDescent="0.25">
      <c r="B140" s="39"/>
      <c r="D140" s="59"/>
      <c r="E140" s="68"/>
      <c r="F140" s="95"/>
      <c r="G140" s="21"/>
    </row>
    <row r="141" spans="2:7" s="32" customFormat="1" ht="15" customHeight="1" x14ac:dyDescent="0.25">
      <c r="B141" s="39"/>
      <c r="D141" s="59"/>
      <c r="E141" s="68"/>
      <c r="F141" s="95"/>
      <c r="G141" s="21"/>
    </row>
    <row r="142" spans="2:7" s="32" customFormat="1" ht="15" customHeight="1" x14ac:dyDescent="0.25">
      <c r="B142" s="39"/>
      <c r="D142" s="59"/>
      <c r="E142" s="68"/>
      <c r="F142" s="95"/>
      <c r="G142" s="21"/>
    </row>
    <row r="143" spans="2:7" s="32" customFormat="1" ht="15" customHeight="1" x14ac:dyDescent="0.25">
      <c r="B143" s="39"/>
      <c r="D143" s="59"/>
      <c r="E143" s="68"/>
      <c r="F143" s="95"/>
      <c r="G143" s="21"/>
    </row>
    <row r="144" spans="2:7" s="32" customFormat="1" ht="15" customHeight="1" x14ac:dyDescent="0.25">
      <c r="B144" s="39"/>
      <c r="D144" s="59"/>
      <c r="E144" s="68"/>
      <c r="F144" s="95"/>
      <c r="G144" s="21"/>
    </row>
    <row r="145" spans="2:7" s="32" customFormat="1" ht="15" customHeight="1" x14ac:dyDescent="0.25">
      <c r="B145" s="39"/>
      <c r="D145" s="59"/>
      <c r="E145" s="68"/>
      <c r="F145" s="95"/>
      <c r="G145" s="21"/>
    </row>
    <row r="146" spans="2:7" s="32" customFormat="1" ht="15" customHeight="1" x14ac:dyDescent="0.25">
      <c r="B146" s="39"/>
      <c r="D146" s="59"/>
      <c r="E146" s="68"/>
      <c r="F146" s="95"/>
      <c r="G146" s="21"/>
    </row>
    <row r="147" spans="2:7" s="32" customFormat="1" ht="15" customHeight="1" x14ac:dyDescent="0.25">
      <c r="B147" s="39"/>
      <c r="D147" s="59"/>
      <c r="E147" s="68"/>
      <c r="F147" s="95"/>
      <c r="G147" s="21"/>
    </row>
    <row r="148" spans="2:7" s="32" customFormat="1" ht="15" customHeight="1" x14ac:dyDescent="0.25">
      <c r="B148" s="39"/>
      <c r="D148" s="59"/>
      <c r="E148" s="68"/>
      <c r="F148" s="95"/>
      <c r="G148" s="21"/>
    </row>
    <row r="149" spans="2:7" s="32" customFormat="1" ht="15" customHeight="1" x14ac:dyDescent="0.25">
      <c r="B149" s="39"/>
      <c r="D149" s="59"/>
      <c r="E149" s="68"/>
      <c r="F149" s="95"/>
      <c r="G149" s="21"/>
    </row>
    <row r="150" spans="2:7" s="32" customFormat="1" ht="15" customHeight="1" x14ac:dyDescent="0.25">
      <c r="B150" s="39"/>
      <c r="D150" s="59"/>
      <c r="E150" s="68"/>
      <c r="F150" s="95"/>
      <c r="G150" s="21"/>
    </row>
    <row r="151" spans="2:7" s="32" customFormat="1" ht="15" customHeight="1" x14ac:dyDescent="0.25">
      <c r="B151" s="39"/>
      <c r="D151" s="59"/>
      <c r="E151" s="68"/>
      <c r="F151" s="95"/>
      <c r="G151" s="21"/>
    </row>
    <row r="152" spans="2:7" s="32" customFormat="1" ht="15" customHeight="1" x14ac:dyDescent="0.25">
      <c r="B152" s="39"/>
      <c r="D152" s="59"/>
      <c r="E152" s="68"/>
      <c r="F152" s="95"/>
      <c r="G152" s="21"/>
    </row>
    <row r="153" spans="2:7" s="32" customFormat="1" ht="15" customHeight="1" x14ac:dyDescent="0.25">
      <c r="B153" s="39"/>
      <c r="D153" s="59"/>
      <c r="E153" s="68"/>
      <c r="F153" s="95"/>
      <c r="G153" s="21"/>
    </row>
    <row r="154" spans="2:7" s="32" customFormat="1" ht="15" customHeight="1" x14ac:dyDescent="0.25">
      <c r="B154" s="39"/>
      <c r="D154" s="59"/>
      <c r="E154" s="68"/>
      <c r="F154" s="95"/>
      <c r="G154" s="21"/>
    </row>
    <row r="155" spans="2:7" s="32" customFormat="1" ht="15" customHeight="1" x14ac:dyDescent="0.25">
      <c r="B155" s="39"/>
      <c r="D155" s="59"/>
      <c r="E155" s="68"/>
      <c r="F155" s="95"/>
      <c r="G155" s="21"/>
    </row>
    <row r="156" spans="2:7" s="32" customFormat="1" ht="15" customHeight="1" x14ac:dyDescent="0.25">
      <c r="B156" s="39"/>
      <c r="D156" s="59"/>
      <c r="E156" s="68"/>
      <c r="F156" s="95"/>
      <c r="G156" s="21"/>
    </row>
    <row r="157" spans="2:7" s="32" customFormat="1" ht="15" customHeight="1" x14ac:dyDescent="0.25">
      <c r="B157" s="39"/>
      <c r="D157" s="59"/>
      <c r="E157" s="68"/>
      <c r="F157" s="95"/>
      <c r="G157" s="21"/>
    </row>
    <row r="158" spans="2:7" s="32" customFormat="1" ht="15" customHeight="1" x14ac:dyDescent="0.25">
      <c r="B158" s="39"/>
      <c r="D158" s="59"/>
      <c r="E158" s="68"/>
      <c r="F158" s="95"/>
      <c r="G158" s="21"/>
    </row>
    <row r="159" spans="2:7" s="32" customFormat="1" ht="15" customHeight="1" x14ac:dyDescent="0.25">
      <c r="B159" s="39"/>
      <c r="D159" s="59"/>
      <c r="E159" s="68"/>
      <c r="F159" s="95"/>
      <c r="G159" s="21"/>
    </row>
    <row r="160" spans="2:7" s="32" customFormat="1" ht="15" customHeight="1" x14ac:dyDescent="0.25">
      <c r="B160" s="39"/>
      <c r="D160" s="59"/>
      <c r="E160" s="68"/>
      <c r="F160" s="95"/>
      <c r="G160" s="21"/>
    </row>
    <row r="161" spans="2:7" s="32" customFormat="1" ht="15" customHeight="1" x14ac:dyDescent="0.25">
      <c r="B161" s="39"/>
      <c r="D161" s="59"/>
      <c r="E161" s="68"/>
      <c r="F161" s="95"/>
      <c r="G161" s="21"/>
    </row>
    <row r="162" spans="2:7" s="32" customFormat="1" ht="15" customHeight="1" x14ac:dyDescent="0.25">
      <c r="B162" s="39"/>
      <c r="D162" s="59"/>
      <c r="E162" s="68"/>
      <c r="F162" s="95"/>
      <c r="G162" s="21"/>
    </row>
    <row r="163" spans="2:7" s="32" customFormat="1" ht="15" customHeight="1" x14ac:dyDescent="0.25">
      <c r="B163" s="39"/>
      <c r="D163" s="59"/>
      <c r="E163" s="68"/>
      <c r="F163" s="95"/>
      <c r="G163" s="21"/>
    </row>
    <row r="164" spans="2:7" s="32" customFormat="1" ht="15" customHeight="1" x14ac:dyDescent="0.25">
      <c r="B164" s="39"/>
      <c r="D164" s="59"/>
      <c r="E164" s="68"/>
      <c r="F164" s="95"/>
      <c r="G164" s="21"/>
    </row>
    <row r="165" spans="2:7" s="32" customFormat="1" ht="15" customHeight="1" x14ac:dyDescent="0.25">
      <c r="B165" s="39"/>
      <c r="D165" s="59"/>
      <c r="E165" s="68"/>
      <c r="F165" s="95"/>
      <c r="G165" s="21"/>
    </row>
    <row r="166" spans="2:7" s="32" customFormat="1" ht="15" customHeight="1" x14ac:dyDescent="0.25">
      <c r="B166" s="39"/>
      <c r="D166" s="59"/>
      <c r="E166" s="68"/>
      <c r="F166" s="95"/>
      <c r="G166" s="21"/>
    </row>
    <row r="167" spans="2:7" s="32" customFormat="1" ht="15" customHeight="1" x14ac:dyDescent="0.25">
      <c r="B167" s="39"/>
      <c r="D167" s="59"/>
      <c r="E167" s="68"/>
      <c r="F167" s="95"/>
      <c r="G167" s="21"/>
    </row>
    <row r="168" spans="2:7" s="32" customFormat="1" ht="15" customHeight="1" x14ac:dyDescent="0.25">
      <c r="B168" s="39"/>
      <c r="D168" s="59"/>
      <c r="E168" s="68"/>
      <c r="F168" s="95"/>
      <c r="G168" s="21"/>
    </row>
    <row r="169" spans="2:7" s="32" customFormat="1" ht="15" customHeight="1" x14ac:dyDescent="0.25">
      <c r="B169" s="39"/>
      <c r="D169" s="59"/>
      <c r="E169" s="68"/>
      <c r="F169" s="95"/>
      <c r="G169" s="21"/>
    </row>
    <row r="170" spans="2:7" s="32" customFormat="1" ht="15" customHeight="1" x14ac:dyDescent="0.25">
      <c r="B170" s="39"/>
      <c r="D170" s="59"/>
      <c r="E170" s="68"/>
      <c r="F170" s="95"/>
      <c r="G170" s="21"/>
    </row>
    <row r="171" spans="2:7" s="32" customFormat="1" ht="15" customHeight="1" x14ac:dyDescent="0.25">
      <c r="B171" s="39"/>
      <c r="D171" s="59"/>
      <c r="E171" s="68"/>
      <c r="F171" s="95"/>
      <c r="G171" s="21"/>
    </row>
    <row r="172" spans="2:7" s="32" customFormat="1" ht="15" customHeight="1" x14ac:dyDescent="0.25">
      <c r="B172" s="39"/>
      <c r="D172" s="59"/>
      <c r="E172" s="68"/>
      <c r="F172" s="95"/>
      <c r="G172" s="21"/>
    </row>
    <row r="173" spans="2:7" s="32" customFormat="1" ht="15" customHeight="1" x14ac:dyDescent="0.25">
      <c r="B173" s="39"/>
      <c r="D173" s="59"/>
      <c r="E173" s="68"/>
      <c r="F173" s="95"/>
      <c r="G173" s="21"/>
    </row>
    <row r="174" spans="2:7" s="32" customFormat="1" ht="15" customHeight="1" x14ac:dyDescent="0.25">
      <c r="B174" s="39"/>
      <c r="D174" s="59"/>
      <c r="E174" s="68"/>
      <c r="F174" s="95"/>
      <c r="G174" s="21"/>
    </row>
    <row r="175" spans="2:7" s="32" customFormat="1" ht="15" customHeight="1" x14ac:dyDescent="0.25">
      <c r="B175" s="39"/>
      <c r="D175" s="59"/>
      <c r="E175" s="68"/>
      <c r="F175" s="95"/>
      <c r="G175" s="21"/>
    </row>
    <row r="176" spans="2:7" s="32" customFormat="1" ht="15" customHeight="1" x14ac:dyDescent="0.25">
      <c r="B176" s="39"/>
      <c r="D176" s="59"/>
      <c r="E176" s="68"/>
      <c r="F176" s="95"/>
      <c r="G176" s="21"/>
    </row>
    <row r="177" spans="2:7" s="32" customFormat="1" ht="15" customHeight="1" x14ac:dyDescent="0.25">
      <c r="B177" s="39"/>
      <c r="D177" s="59"/>
      <c r="E177" s="68"/>
      <c r="F177" s="95"/>
      <c r="G177" s="21"/>
    </row>
    <row r="178" spans="2:7" s="32" customFormat="1" ht="15" customHeight="1" x14ac:dyDescent="0.25">
      <c r="B178" s="39"/>
      <c r="D178" s="59"/>
      <c r="E178" s="68"/>
      <c r="F178" s="95"/>
      <c r="G178" s="21"/>
    </row>
    <row r="179" spans="2:7" s="32" customFormat="1" ht="15" customHeight="1" x14ac:dyDescent="0.25">
      <c r="B179" s="39"/>
      <c r="D179" s="59"/>
      <c r="E179" s="68"/>
      <c r="F179" s="95"/>
      <c r="G179" s="21"/>
    </row>
    <row r="180" spans="2:7" s="32" customFormat="1" ht="15" customHeight="1" x14ac:dyDescent="0.25">
      <c r="B180" s="39"/>
      <c r="D180" s="59"/>
      <c r="E180" s="68"/>
      <c r="F180" s="95"/>
      <c r="G180" s="21"/>
    </row>
    <row r="181" spans="2:7" s="32" customFormat="1" ht="15" customHeight="1" x14ac:dyDescent="0.25">
      <c r="B181" s="39"/>
      <c r="D181" s="59"/>
      <c r="E181" s="68"/>
      <c r="F181" s="95"/>
      <c r="G181" s="21"/>
    </row>
    <row r="182" spans="2:7" s="32" customFormat="1" ht="15" customHeight="1" x14ac:dyDescent="0.25">
      <c r="B182" s="39"/>
      <c r="D182" s="59"/>
      <c r="E182" s="68"/>
      <c r="F182" s="95"/>
      <c r="G182" s="21"/>
    </row>
    <row r="183" spans="2:7" s="32" customFormat="1" ht="15" customHeight="1" x14ac:dyDescent="0.25">
      <c r="B183" s="39"/>
      <c r="D183" s="59"/>
      <c r="E183" s="68"/>
      <c r="F183" s="95"/>
      <c r="G183" s="21"/>
    </row>
    <row r="184" spans="2:7" s="32" customFormat="1" ht="15" customHeight="1" x14ac:dyDescent="0.25">
      <c r="B184" s="39"/>
      <c r="D184" s="59"/>
      <c r="E184" s="68"/>
      <c r="F184" s="95"/>
      <c r="G184" s="21"/>
    </row>
    <row r="185" spans="2:7" s="32" customFormat="1" ht="15" customHeight="1" x14ac:dyDescent="0.25">
      <c r="B185" s="39"/>
      <c r="D185" s="59"/>
      <c r="E185" s="68"/>
      <c r="F185" s="95"/>
      <c r="G185" s="21"/>
    </row>
    <row r="186" spans="2:7" s="32" customFormat="1" ht="15" customHeight="1" x14ac:dyDescent="0.25">
      <c r="B186" s="39"/>
      <c r="D186" s="59"/>
      <c r="E186" s="68"/>
      <c r="F186" s="95"/>
      <c r="G186" s="21"/>
    </row>
    <row r="187" spans="2:7" s="32" customFormat="1" ht="15" customHeight="1" x14ac:dyDescent="0.25">
      <c r="B187" s="39"/>
      <c r="D187" s="59"/>
      <c r="E187" s="68"/>
      <c r="F187" s="95"/>
      <c r="G187" s="21"/>
    </row>
    <row r="188" spans="2:7" s="32" customFormat="1" ht="15" customHeight="1" x14ac:dyDescent="0.25">
      <c r="B188" s="39"/>
      <c r="D188" s="59"/>
      <c r="E188" s="68"/>
      <c r="F188" s="95"/>
      <c r="G188" s="21"/>
    </row>
    <row r="189" spans="2:7" s="32" customFormat="1" ht="15" customHeight="1" x14ac:dyDescent="0.25">
      <c r="B189" s="39"/>
      <c r="D189" s="59"/>
      <c r="E189" s="68"/>
      <c r="F189" s="95"/>
      <c r="G189" s="21"/>
    </row>
    <row r="190" spans="2:7" s="32" customFormat="1" ht="15" customHeight="1" x14ac:dyDescent="0.25">
      <c r="B190" s="39"/>
      <c r="D190" s="59"/>
      <c r="E190" s="68"/>
      <c r="F190" s="95"/>
      <c r="G190" s="21"/>
    </row>
    <row r="191" spans="2:7" s="32" customFormat="1" ht="15" customHeight="1" x14ac:dyDescent="0.25">
      <c r="B191" s="39"/>
      <c r="D191" s="59"/>
      <c r="E191" s="68"/>
      <c r="F191" s="95"/>
      <c r="G191" s="21"/>
    </row>
    <row r="192" spans="2:7" s="32" customFormat="1" ht="15" customHeight="1" x14ac:dyDescent="0.25">
      <c r="B192" s="39"/>
      <c r="D192" s="59"/>
      <c r="E192" s="68"/>
      <c r="F192" s="95"/>
      <c r="G192" s="21"/>
    </row>
    <row r="193" spans="2:7" s="32" customFormat="1" ht="15" customHeight="1" x14ac:dyDescent="0.25">
      <c r="B193" s="39"/>
      <c r="D193" s="59"/>
      <c r="E193" s="68"/>
      <c r="F193" s="95"/>
      <c r="G193" s="21"/>
    </row>
    <row r="194" spans="2:7" s="32" customFormat="1" ht="15" customHeight="1" x14ac:dyDescent="0.25">
      <c r="B194" s="39"/>
      <c r="D194" s="59"/>
      <c r="E194" s="68"/>
      <c r="F194" s="95"/>
      <c r="G194" s="21"/>
    </row>
    <row r="195" spans="2:7" s="32" customFormat="1" ht="15" customHeight="1" x14ac:dyDescent="0.25">
      <c r="B195" s="39"/>
      <c r="D195" s="59"/>
      <c r="E195" s="68"/>
      <c r="F195" s="95"/>
      <c r="G195" s="21"/>
    </row>
    <row r="196" spans="2:7" s="32" customFormat="1" ht="15" customHeight="1" x14ac:dyDescent="0.25">
      <c r="B196" s="39"/>
      <c r="D196" s="59"/>
      <c r="E196" s="68"/>
      <c r="F196" s="95"/>
      <c r="G196" s="21"/>
    </row>
    <row r="197" spans="2:7" s="32" customFormat="1" ht="15" customHeight="1" x14ac:dyDescent="0.25">
      <c r="B197" s="39"/>
      <c r="D197" s="59"/>
      <c r="E197" s="68"/>
      <c r="F197" s="95"/>
      <c r="G197" s="21"/>
    </row>
    <row r="198" spans="2:7" s="32" customFormat="1" ht="15" customHeight="1" x14ac:dyDescent="0.25">
      <c r="B198" s="39"/>
      <c r="D198" s="59"/>
      <c r="E198" s="68"/>
      <c r="F198" s="95"/>
      <c r="G198" s="21"/>
    </row>
    <row r="199" spans="2:7" s="32" customFormat="1" ht="15" customHeight="1" x14ac:dyDescent="0.25">
      <c r="B199" s="39"/>
      <c r="D199" s="59"/>
      <c r="E199" s="68"/>
      <c r="F199" s="95"/>
      <c r="G199" s="21"/>
    </row>
    <row r="200" spans="2:7" s="32" customFormat="1" ht="15" customHeight="1" x14ac:dyDescent="0.25">
      <c r="B200" s="39"/>
      <c r="D200" s="59"/>
      <c r="E200" s="68"/>
      <c r="F200" s="95"/>
      <c r="G200" s="21"/>
    </row>
    <row r="201" spans="2:7" s="32" customFormat="1" ht="15" customHeight="1" x14ac:dyDescent="0.25">
      <c r="B201" s="39"/>
      <c r="D201" s="59"/>
      <c r="E201" s="68"/>
      <c r="F201" s="95"/>
      <c r="G201" s="21"/>
    </row>
    <row r="202" spans="2:7" s="32" customFormat="1" ht="15" customHeight="1" x14ac:dyDescent="0.25">
      <c r="B202" s="39"/>
      <c r="D202" s="59"/>
      <c r="E202" s="68"/>
      <c r="F202" s="95"/>
      <c r="G202" s="21"/>
    </row>
    <row r="203" spans="2:7" s="32" customFormat="1" ht="15" customHeight="1" x14ac:dyDescent="0.25">
      <c r="B203" s="39"/>
      <c r="D203" s="59"/>
      <c r="E203" s="68"/>
      <c r="F203" s="95"/>
      <c r="G203" s="21"/>
    </row>
    <row r="204" spans="2:7" s="32" customFormat="1" ht="15" customHeight="1" x14ac:dyDescent="0.25">
      <c r="B204" s="39"/>
      <c r="D204" s="59"/>
      <c r="E204" s="68"/>
      <c r="F204" s="95"/>
      <c r="G204" s="21"/>
    </row>
    <row r="205" spans="2:7" s="32" customFormat="1" ht="15" customHeight="1" x14ac:dyDescent="0.25">
      <c r="B205" s="39"/>
      <c r="D205" s="59"/>
      <c r="E205" s="68"/>
      <c r="F205" s="95"/>
      <c r="G205" s="21"/>
    </row>
    <row r="206" spans="2:7" s="32" customFormat="1" ht="15" customHeight="1" x14ac:dyDescent="0.25">
      <c r="B206" s="39"/>
      <c r="D206" s="59"/>
      <c r="E206" s="68"/>
      <c r="F206" s="95"/>
      <c r="G206" s="21"/>
    </row>
    <row r="207" spans="2:7" s="32" customFormat="1" ht="15" customHeight="1" x14ac:dyDescent="0.25">
      <c r="B207" s="39"/>
      <c r="D207" s="59"/>
      <c r="E207" s="68"/>
      <c r="F207" s="95"/>
      <c r="G207" s="21"/>
    </row>
    <row r="208" spans="2:7" s="32" customFormat="1" ht="15" customHeight="1" x14ac:dyDescent="0.25">
      <c r="B208" s="39"/>
      <c r="D208" s="59"/>
      <c r="E208" s="68"/>
      <c r="F208" s="95"/>
      <c r="G208" s="21"/>
    </row>
    <row r="209" spans="2:7" s="32" customFormat="1" ht="15" customHeight="1" x14ac:dyDescent="0.25">
      <c r="B209" s="39"/>
      <c r="D209" s="59"/>
      <c r="E209" s="68"/>
      <c r="F209" s="95"/>
      <c r="G209" s="21"/>
    </row>
    <row r="210" spans="2:7" s="32" customFormat="1" ht="15" customHeight="1" x14ac:dyDescent="0.25">
      <c r="B210" s="39"/>
      <c r="D210" s="59"/>
      <c r="E210" s="68"/>
      <c r="F210" s="95"/>
      <c r="G210" s="21"/>
    </row>
    <row r="211" spans="2:7" s="32" customFormat="1" ht="15" customHeight="1" x14ac:dyDescent="0.25">
      <c r="B211" s="39"/>
      <c r="D211" s="59"/>
      <c r="E211" s="68"/>
      <c r="F211" s="95"/>
      <c r="G211" s="21"/>
    </row>
    <row r="212" spans="2:7" s="32" customFormat="1" ht="15" customHeight="1" x14ac:dyDescent="0.25">
      <c r="B212" s="39"/>
      <c r="D212" s="59"/>
      <c r="E212" s="68"/>
      <c r="F212" s="95"/>
      <c r="G212" s="21"/>
    </row>
    <row r="213" spans="2:7" s="32" customFormat="1" ht="15" customHeight="1" x14ac:dyDescent="0.25">
      <c r="B213" s="39"/>
      <c r="D213" s="59"/>
      <c r="E213" s="68"/>
      <c r="F213" s="95"/>
      <c r="G213" s="21"/>
    </row>
    <row r="214" spans="2:7" s="32" customFormat="1" ht="15" customHeight="1" x14ac:dyDescent="0.25">
      <c r="B214" s="39"/>
      <c r="D214" s="59"/>
      <c r="E214" s="68"/>
      <c r="F214" s="95"/>
      <c r="G214" s="21"/>
    </row>
    <row r="215" spans="2:7" s="32" customFormat="1" ht="15" customHeight="1" x14ac:dyDescent="0.25">
      <c r="B215" s="39"/>
      <c r="D215" s="59"/>
      <c r="E215" s="68"/>
      <c r="F215" s="95"/>
      <c r="G215" s="21"/>
    </row>
    <row r="216" spans="2:7" s="32" customFormat="1" ht="15" customHeight="1" x14ac:dyDescent="0.25">
      <c r="B216" s="39"/>
      <c r="D216" s="59"/>
      <c r="E216" s="68"/>
      <c r="F216" s="95"/>
      <c r="G216" s="21"/>
    </row>
    <row r="217" spans="2:7" s="32" customFormat="1" ht="15" customHeight="1" x14ac:dyDescent="0.25">
      <c r="B217" s="39"/>
      <c r="D217" s="59"/>
      <c r="E217" s="68"/>
      <c r="F217" s="95"/>
      <c r="G217" s="21"/>
    </row>
    <row r="218" spans="2:7" s="32" customFormat="1" ht="15" customHeight="1" x14ac:dyDescent="0.25">
      <c r="B218" s="39"/>
      <c r="D218" s="59"/>
      <c r="E218" s="68"/>
      <c r="F218" s="95"/>
      <c r="G218" s="21"/>
    </row>
    <row r="219" spans="2:7" s="32" customFormat="1" ht="15" customHeight="1" x14ac:dyDescent="0.25">
      <c r="B219" s="39"/>
      <c r="D219" s="59"/>
      <c r="E219" s="68"/>
      <c r="F219" s="95"/>
      <c r="G219" s="21"/>
    </row>
    <row r="220" spans="2:7" s="32" customFormat="1" ht="15" customHeight="1" x14ac:dyDescent="0.25">
      <c r="B220" s="39"/>
      <c r="D220" s="59"/>
      <c r="E220" s="68"/>
      <c r="F220" s="95"/>
      <c r="G220" s="21"/>
    </row>
    <row r="221" spans="2:7" s="32" customFormat="1" ht="15" customHeight="1" x14ac:dyDescent="0.25">
      <c r="B221" s="39"/>
      <c r="D221" s="59"/>
      <c r="E221" s="68"/>
      <c r="F221" s="95"/>
      <c r="G221" s="21"/>
    </row>
    <row r="222" spans="2:7" s="32" customFormat="1" ht="15" customHeight="1" x14ac:dyDescent="0.25">
      <c r="B222" s="39"/>
      <c r="D222" s="59"/>
      <c r="E222" s="68"/>
      <c r="F222" s="95"/>
      <c r="G222" s="21"/>
    </row>
    <row r="223" spans="2:7" s="32" customFormat="1" ht="15" customHeight="1" x14ac:dyDescent="0.25">
      <c r="B223" s="39"/>
      <c r="D223" s="59"/>
      <c r="E223" s="68"/>
      <c r="F223" s="95"/>
      <c r="G223" s="21"/>
    </row>
    <row r="224" spans="2:7" s="32" customFormat="1" ht="15" customHeight="1" x14ac:dyDescent="0.25">
      <c r="B224" s="39"/>
      <c r="D224" s="59"/>
      <c r="E224" s="68"/>
      <c r="F224" s="95"/>
      <c r="G224" s="21"/>
    </row>
    <row r="225" spans="2:7" s="32" customFormat="1" ht="15" customHeight="1" x14ac:dyDescent="0.25">
      <c r="B225" s="39"/>
      <c r="D225" s="59"/>
      <c r="E225" s="68"/>
      <c r="F225" s="95"/>
      <c r="G225" s="21"/>
    </row>
    <row r="226" spans="2:7" s="32" customFormat="1" ht="15" customHeight="1" x14ac:dyDescent="0.25">
      <c r="B226" s="39"/>
      <c r="D226" s="59"/>
      <c r="E226" s="68"/>
      <c r="F226" s="95"/>
      <c r="G226" s="21"/>
    </row>
    <row r="227" spans="2:7" s="32" customFormat="1" ht="15" customHeight="1" x14ac:dyDescent="0.25">
      <c r="B227" s="39"/>
      <c r="D227" s="59"/>
      <c r="E227" s="68"/>
      <c r="F227" s="95"/>
      <c r="G227" s="21"/>
    </row>
    <row r="228" spans="2:7" s="32" customFormat="1" ht="15" customHeight="1" x14ac:dyDescent="0.25">
      <c r="B228" s="39"/>
      <c r="D228" s="59"/>
      <c r="E228" s="68"/>
      <c r="F228" s="95"/>
      <c r="G228" s="21"/>
    </row>
    <row r="229" spans="2:7" s="32" customFormat="1" ht="15" customHeight="1" x14ac:dyDescent="0.25">
      <c r="B229" s="39"/>
      <c r="D229" s="59"/>
      <c r="E229" s="68"/>
      <c r="F229" s="95"/>
      <c r="G229" s="21"/>
    </row>
    <row r="230" spans="2:7" s="32" customFormat="1" ht="15" customHeight="1" x14ac:dyDescent="0.25">
      <c r="B230" s="39"/>
      <c r="D230" s="59"/>
      <c r="E230" s="68"/>
      <c r="F230" s="95"/>
      <c r="G230" s="21"/>
    </row>
    <row r="231" spans="2:7" s="32" customFormat="1" ht="15" customHeight="1" x14ac:dyDescent="0.25">
      <c r="B231" s="39"/>
      <c r="D231" s="59"/>
      <c r="E231" s="68"/>
      <c r="F231" s="95"/>
      <c r="G231" s="21"/>
    </row>
    <row r="232" spans="2:7" s="32" customFormat="1" ht="15" customHeight="1" x14ac:dyDescent="0.25">
      <c r="B232" s="39"/>
      <c r="D232" s="59"/>
      <c r="E232" s="68"/>
      <c r="F232" s="95"/>
      <c r="G232" s="21"/>
    </row>
    <row r="233" spans="2:7" s="32" customFormat="1" ht="15" customHeight="1" x14ac:dyDescent="0.25">
      <c r="B233" s="39"/>
      <c r="D233" s="59"/>
      <c r="E233" s="68"/>
      <c r="F233" s="95"/>
      <c r="G233" s="21"/>
    </row>
    <row r="234" spans="2:7" s="32" customFormat="1" ht="15" customHeight="1" x14ac:dyDescent="0.25">
      <c r="B234" s="39"/>
      <c r="D234" s="59"/>
      <c r="E234" s="68"/>
      <c r="F234" s="95"/>
      <c r="G234" s="21"/>
    </row>
    <row r="235" spans="2:7" s="32" customFormat="1" ht="15" customHeight="1" x14ac:dyDescent="0.25">
      <c r="B235" s="39"/>
      <c r="D235" s="59"/>
      <c r="E235" s="68"/>
      <c r="F235" s="95"/>
      <c r="G235" s="21"/>
    </row>
    <row r="236" spans="2:7" s="32" customFormat="1" ht="15" customHeight="1" x14ac:dyDescent="0.25">
      <c r="B236" s="39"/>
      <c r="D236" s="59"/>
      <c r="E236" s="68"/>
      <c r="F236" s="95"/>
      <c r="G236" s="21"/>
    </row>
    <row r="237" spans="2:7" s="32" customFormat="1" ht="15" customHeight="1" x14ac:dyDescent="0.25">
      <c r="B237" s="39"/>
      <c r="D237" s="59"/>
      <c r="E237" s="68"/>
      <c r="F237" s="95"/>
      <c r="G237" s="21"/>
    </row>
    <row r="238" spans="2:7" s="32" customFormat="1" ht="15" customHeight="1" x14ac:dyDescent="0.25">
      <c r="B238" s="39"/>
      <c r="D238" s="59"/>
      <c r="E238" s="68"/>
      <c r="F238" s="95"/>
      <c r="G238" s="21"/>
    </row>
    <row r="239" spans="2:7" s="32" customFormat="1" ht="15" customHeight="1" x14ac:dyDescent="0.25">
      <c r="B239" s="39"/>
      <c r="D239" s="59"/>
      <c r="E239" s="68"/>
      <c r="F239" s="95"/>
      <c r="G239" s="21"/>
    </row>
    <row r="240" spans="2:7" s="32" customFormat="1" ht="15" customHeight="1" x14ac:dyDescent="0.25">
      <c r="B240" s="39"/>
      <c r="D240" s="59"/>
      <c r="E240" s="68"/>
      <c r="F240" s="95"/>
      <c r="G240" s="21"/>
    </row>
    <row r="241" spans="2:7" s="32" customFormat="1" ht="15" customHeight="1" x14ac:dyDescent="0.25">
      <c r="B241" s="39"/>
      <c r="D241" s="59"/>
      <c r="E241" s="68"/>
      <c r="F241" s="95"/>
      <c r="G241" s="21"/>
    </row>
    <row r="242" spans="2:7" s="32" customFormat="1" ht="15" customHeight="1" x14ac:dyDescent="0.25">
      <c r="B242" s="39"/>
      <c r="D242" s="59"/>
      <c r="E242" s="68"/>
      <c r="F242" s="95"/>
      <c r="G242" s="21"/>
    </row>
    <row r="243" spans="2:7" s="32" customFormat="1" ht="15" customHeight="1" x14ac:dyDescent="0.25">
      <c r="B243" s="39"/>
      <c r="D243" s="59"/>
      <c r="E243" s="68"/>
      <c r="F243" s="95"/>
      <c r="G243" s="21"/>
    </row>
    <row r="244" spans="2:7" s="32" customFormat="1" ht="15" customHeight="1" x14ac:dyDescent="0.25">
      <c r="B244" s="39"/>
      <c r="D244" s="59"/>
      <c r="E244" s="68"/>
      <c r="F244" s="95"/>
      <c r="G244" s="21"/>
    </row>
    <row r="245" spans="2:7" s="32" customFormat="1" ht="15" customHeight="1" x14ac:dyDescent="0.25">
      <c r="B245" s="39"/>
      <c r="D245" s="59"/>
      <c r="E245" s="68"/>
      <c r="F245" s="95"/>
      <c r="G245" s="21"/>
    </row>
    <row r="246" spans="2:7" s="32" customFormat="1" ht="15" customHeight="1" x14ac:dyDescent="0.25">
      <c r="B246" s="39"/>
      <c r="D246" s="59"/>
      <c r="E246" s="68"/>
      <c r="F246" s="95"/>
      <c r="G246" s="21"/>
    </row>
    <row r="247" spans="2:7" s="32" customFormat="1" ht="15" customHeight="1" x14ac:dyDescent="0.25">
      <c r="B247" s="39"/>
      <c r="D247" s="59"/>
      <c r="E247" s="68"/>
      <c r="F247" s="95"/>
      <c r="G247" s="21"/>
    </row>
    <row r="248" spans="2:7" s="32" customFormat="1" ht="15" customHeight="1" x14ac:dyDescent="0.25">
      <c r="B248" s="39"/>
      <c r="D248" s="59"/>
      <c r="E248" s="68"/>
      <c r="F248" s="95"/>
      <c r="G248" s="21"/>
    </row>
    <row r="249" spans="2:7" s="32" customFormat="1" x14ac:dyDescent="0.25">
      <c r="B249" s="39"/>
      <c r="D249" s="59"/>
      <c r="E249" s="68"/>
      <c r="F249" s="95"/>
      <c r="G249" s="21"/>
    </row>
    <row r="250" spans="2:7" s="32" customFormat="1" x14ac:dyDescent="0.25">
      <c r="B250" s="39"/>
      <c r="D250" s="59"/>
      <c r="E250" s="68"/>
      <c r="F250" s="95"/>
      <c r="G250" s="21"/>
    </row>
    <row r="251" spans="2:7" s="32" customFormat="1" x14ac:dyDescent="0.25">
      <c r="B251" s="39"/>
      <c r="D251" s="59"/>
      <c r="E251" s="68"/>
      <c r="F251" s="95"/>
      <c r="G251" s="21"/>
    </row>
    <row r="252" spans="2:7" s="32" customFormat="1" x14ac:dyDescent="0.25">
      <c r="B252" s="39"/>
      <c r="D252" s="59"/>
      <c r="E252" s="68"/>
      <c r="F252" s="95"/>
      <c r="G252" s="21"/>
    </row>
    <row r="253" spans="2:7" s="32" customFormat="1" x14ac:dyDescent="0.25">
      <c r="B253" s="39"/>
      <c r="D253" s="59"/>
      <c r="E253" s="68"/>
      <c r="F253" s="95"/>
      <c r="G253" s="21"/>
    </row>
    <row r="254" spans="2:7" s="32" customFormat="1" x14ac:dyDescent="0.25">
      <c r="B254" s="39"/>
      <c r="D254" s="59"/>
      <c r="E254" s="68"/>
      <c r="F254" s="95"/>
      <c r="G254" s="21"/>
    </row>
    <row r="255" spans="2:7" s="32" customFormat="1" x14ac:dyDescent="0.25">
      <c r="B255" s="39"/>
      <c r="D255" s="59"/>
      <c r="E255" s="68"/>
      <c r="F255" s="95"/>
      <c r="G255" s="21"/>
    </row>
    <row r="256" spans="2:7" s="32" customFormat="1" x14ac:dyDescent="0.25">
      <c r="B256" s="39"/>
      <c r="D256" s="59"/>
      <c r="E256" s="68"/>
      <c r="F256" s="95"/>
      <c r="G256" s="21"/>
    </row>
    <row r="257" spans="2:7" s="32" customFormat="1" x14ac:dyDescent="0.25">
      <c r="B257" s="39"/>
      <c r="D257" s="59"/>
      <c r="E257" s="68"/>
      <c r="F257" s="95"/>
      <c r="G257" s="21"/>
    </row>
    <row r="258" spans="2:7" s="32" customFormat="1" x14ac:dyDescent="0.25">
      <c r="B258" s="39"/>
      <c r="D258" s="59"/>
      <c r="E258" s="68"/>
      <c r="F258" s="95"/>
      <c r="G258" s="21"/>
    </row>
    <row r="259" spans="2:7" s="32" customFormat="1" x14ac:dyDescent="0.25">
      <c r="B259" s="39"/>
      <c r="D259" s="59"/>
      <c r="E259" s="68"/>
      <c r="F259" s="95"/>
      <c r="G259" s="21"/>
    </row>
    <row r="260" spans="2:7" s="32" customFormat="1" x14ac:dyDescent="0.25">
      <c r="B260" s="39"/>
      <c r="D260" s="59"/>
      <c r="E260" s="68"/>
      <c r="F260" s="95"/>
      <c r="G260" s="21"/>
    </row>
    <row r="261" spans="2:7" s="32" customFormat="1" x14ac:dyDescent="0.25">
      <c r="B261" s="39"/>
      <c r="D261" s="59"/>
      <c r="E261" s="68"/>
      <c r="F261" s="95"/>
      <c r="G261" s="21"/>
    </row>
    <row r="262" spans="2:7" s="32" customFormat="1" x14ac:dyDescent="0.25">
      <c r="B262" s="39"/>
      <c r="D262" s="59"/>
      <c r="E262" s="68"/>
      <c r="F262" s="95"/>
      <c r="G262" s="21"/>
    </row>
    <row r="263" spans="2:7" s="32" customFormat="1" x14ac:dyDescent="0.25">
      <c r="B263" s="39"/>
      <c r="D263" s="59"/>
      <c r="E263" s="68"/>
      <c r="F263" s="95"/>
      <c r="G263" s="21"/>
    </row>
    <row r="264" spans="2:7" s="32" customFormat="1" x14ac:dyDescent="0.25">
      <c r="B264" s="39"/>
      <c r="D264" s="59"/>
      <c r="E264" s="68"/>
      <c r="F264" s="95"/>
      <c r="G264" s="21"/>
    </row>
    <row r="265" spans="2:7" s="32" customFormat="1" x14ac:dyDescent="0.25">
      <c r="B265" s="39"/>
      <c r="D265" s="59"/>
      <c r="E265" s="68"/>
      <c r="F265" s="95"/>
      <c r="G265" s="21"/>
    </row>
    <row r="266" spans="2:7" s="32" customFormat="1" x14ac:dyDescent="0.25">
      <c r="B266" s="39"/>
      <c r="D266" s="59"/>
      <c r="E266" s="68"/>
      <c r="F266" s="95"/>
      <c r="G266" s="21"/>
    </row>
    <row r="267" spans="2:7" s="32" customFormat="1" x14ac:dyDescent="0.25">
      <c r="B267" s="39"/>
      <c r="D267" s="59"/>
      <c r="E267" s="68"/>
      <c r="F267" s="95"/>
      <c r="G267" s="21"/>
    </row>
    <row r="268" spans="2:7" s="32" customFormat="1" x14ac:dyDescent="0.25">
      <c r="B268" s="39"/>
      <c r="D268" s="59"/>
      <c r="E268" s="68"/>
      <c r="F268" s="95"/>
      <c r="G268" s="21"/>
    </row>
    <row r="269" spans="2:7" s="32" customFormat="1" x14ac:dyDescent="0.25">
      <c r="B269" s="39"/>
      <c r="D269" s="59"/>
      <c r="E269" s="68"/>
      <c r="F269" s="95"/>
      <c r="G269" s="21"/>
    </row>
    <row r="270" spans="2:7" s="32" customFormat="1" x14ac:dyDescent="0.25">
      <c r="B270" s="39"/>
      <c r="D270" s="59"/>
      <c r="E270" s="68"/>
      <c r="F270" s="95"/>
      <c r="G270" s="21"/>
    </row>
    <row r="271" spans="2:7" s="32" customFormat="1" x14ac:dyDescent="0.25">
      <c r="B271" s="39"/>
      <c r="D271" s="59"/>
      <c r="E271" s="68"/>
      <c r="F271" s="95"/>
      <c r="G271" s="21"/>
    </row>
    <row r="272" spans="2:7" s="32" customFormat="1" x14ac:dyDescent="0.25">
      <c r="B272" s="39"/>
      <c r="D272" s="59"/>
      <c r="E272" s="68"/>
      <c r="F272" s="95"/>
      <c r="G272" s="21"/>
    </row>
    <row r="273" spans="2:7" s="32" customFormat="1" x14ac:dyDescent="0.25">
      <c r="B273" s="39"/>
      <c r="D273" s="59"/>
      <c r="E273" s="68"/>
      <c r="F273" s="95"/>
      <c r="G273" s="21"/>
    </row>
    <row r="274" spans="2:7" s="32" customFormat="1" x14ac:dyDescent="0.25">
      <c r="B274" s="39"/>
      <c r="D274" s="59"/>
      <c r="E274" s="68"/>
      <c r="F274" s="95"/>
      <c r="G274" s="21"/>
    </row>
    <row r="275" spans="2:7" s="32" customFormat="1" x14ac:dyDescent="0.25">
      <c r="B275" s="39"/>
      <c r="D275" s="59"/>
      <c r="E275" s="68"/>
      <c r="F275" s="95"/>
      <c r="G275" s="21"/>
    </row>
    <row r="276" spans="2:7" s="32" customFormat="1" x14ac:dyDescent="0.25">
      <c r="B276" s="39"/>
      <c r="D276" s="59"/>
      <c r="E276" s="68"/>
      <c r="F276" s="95"/>
      <c r="G276" s="21"/>
    </row>
    <row r="277" spans="2:7" s="32" customFormat="1" x14ac:dyDescent="0.25">
      <c r="B277" s="39"/>
      <c r="D277" s="59"/>
      <c r="E277" s="68"/>
      <c r="F277" s="95"/>
      <c r="G277" s="21"/>
    </row>
    <row r="278" spans="2:7" s="32" customFormat="1" x14ac:dyDescent="0.25">
      <c r="B278" s="39"/>
      <c r="D278" s="59"/>
      <c r="E278" s="68"/>
      <c r="F278" s="95"/>
      <c r="G278" s="21"/>
    </row>
    <row r="279" spans="2:7" s="32" customFormat="1" x14ac:dyDescent="0.25">
      <c r="B279" s="39"/>
      <c r="D279" s="59"/>
      <c r="E279" s="68"/>
      <c r="F279" s="95"/>
      <c r="G279" s="21"/>
    </row>
    <row r="280" spans="2:7" s="32" customFormat="1" x14ac:dyDescent="0.25">
      <c r="B280" s="39"/>
      <c r="D280" s="59"/>
      <c r="E280" s="68"/>
      <c r="F280" s="95"/>
      <c r="G280" s="21"/>
    </row>
    <row r="281" spans="2:7" s="32" customFormat="1" x14ac:dyDescent="0.25">
      <c r="B281" s="39"/>
      <c r="D281" s="59"/>
      <c r="E281" s="68"/>
      <c r="F281" s="95"/>
      <c r="G281" s="21"/>
    </row>
    <row r="282" spans="2:7" s="32" customFormat="1" x14ac:dyDescent="0.25">
      <c r="B282" s="39"/>
      <c r="D282" s="59"/>
      <c r="E282" s="68"/>
      <c r="F282" s="95"/>
      <c r="G282" s="21"/>
    </row>
    <row r="283" spans="2:7" s="32" customFormat="1" x14ac:dyDescent="0.25">
      <c r="B283" s="39"/>
      <c r="D283" s="59"/>
      <c r="E283" s="68"/>
      <c r="F283" s="95"/>
      <c r="G283" s="21"/>
    </row>
    <row r="284" spans="2:7" s="32" customFormat="1" x14ac:dyDescent="0.25">
      <c r="B284" s="39"/>
      <c r="D284" s="59"/>
      <c r="E284" s="68"/>
      <c r="F284" s="95"/>
      <c r="G284" s="21"/>
    </row>
    <row r="285" spans="2:7" s="32" customFormat="1" x14ac:dyDescent="0.25">
      <c r="B285" s="39"/>
      <c r="D285" s="59"/>
      <c r="E285" s="68"/>
      <c r="F285" s="95"/>
      <c r="G285" s="21"/>
    </row>
    <row r="286" spans="2:7" s="32" customFormat="1" x14ac:dyDescent="0.25">
      <c r="B286" s="39"/>
      <c r="D286" s="59"/>
      <c r="E286" s="68"/>
      <c r="F286" s="95"/>
      <c r="G286" s="21"/>
    </row>
    <row r="287" spans="2:7" s="32" customFormat="1" x14ac:dyDescent="0.25">
      <c r="B287" s="39"/>
      <c r="D287" s="59"/>
      <c r="E287" s="68"/>
      <c r="F287" s="95"/>
      <c r="G287" s="21"/>
    </row>
    <row r="288" spans="2:7" s="32" customFormat="1" x14ac:dyDescent="0.25">
      <c r="B288" s="39"/>
      <c r="D288" s="59"/>
      <c r="E288" s="68"/>
      <c r="F288" s="95"/>
      <c r="G288" s="21"/>
    </row>
    <row r="289" spans="2:7" s="32" customFormat="1" x14ac:dyDescent="0.25">
      <c r="B289" s="39"/>
      <c r="D289" s="59"/>
      <c r="E289" s="68"/>
      <c r="F289" s="95"/>
      <c r="G289" s="21"/>
    </row>
    <row r="290" spans="2:7" s="32" customFormat="1" x14ac:dyDescent="0.25">
      <c r="B290" s="39"/>
      <c r="D290" s="59"/>
      <c r="E290" s="68"/>
      <c r="F290" s="95"/>
      <c r="G290" s="21"/>
    </row>
    <row r="291" spans="2:7" s="32" customFormat="1" x14ac:dyDescent="0.25">
      <c r="B291" s="39"/>
      <c r="D291" s="59"/>
      <c r="E291" s="68"/>
      <c r="F291" s="95"/>
      <c r="G291" s="21"/>
    </row>
    <row r="292" spans="2:7" s="32" customFormat="1" x14ac:dyDescent="0.25">
      <c r="B292" s="39"/>
      <c r="D292" s="59"/>
      <c r="E292" s="68"/>
      <c r="F292" s="95"/>
      <c r="G292" s="21"/>
    </row>
    <row r="293" spans="2:7" s="32" customFormat="1" x14ac:dyDescent="0.25">
      <c r="B293" s="39"/>
      <c r="D293" s="59"/>
      <c r="E293" s="68"/>
      <c r="F293" s="95"/>
      <c r="G293" s="21"/>
    </row>
    <row r="294" spans="2:7" s="32" customFormat="1" x14ac:dyDescent="0.25">
      <c r="B294" s="39"/>
      <c r="D294" s="59"/>
      <c r="E294" s="68"/>
      <c r="F294" s="95"/>
      <c r="G294" s="21"/>
    </row>
    <row r="295" spans="2:7" s="32" customFormat="1" x14ac:dyDescent="0.25">
      <c r="B295" s="39"/>
      <c r="D295" s="59"/>
      <c r="E295" s="68"/>
      <c r="F295" s="95"/>
      <c r="G295" s="21"/>
    </row>
    <row r="296" spans="2:7" s="32" customFormat="1" x14ac:dyDescent="0.25">
      <c r="B296" s="39"/>
      <c r="D296" s="59"/>
      <c r="E296" s="68"/>
      <c r="F296" s="95"/>
      <c r="G296" s="21"/>
    </row>
    <row r="297" spans="2:7" s="32" customFormat="1" x14ac:dyDescent="0.25">
      <c r="B297" s="39"/>
      <c r="D297" s="59"/>
      <c r="E297" s="68"/>
      <c r="F297" s="95"/>
      <c r="G297" s="21"/>
    </row>
    <row r="298" spans="2:7" s="32" customFormat="1" x14ac:dyDescent="0.25">
      <c r="B298" s="39"/>
      <c r="D298" s="59"/>
      <c r="E298" s="68"/>
      <c r="F298" s="95"/>
      <c r="G298" s="21"/>
    </row>
    <row r="299" spans="2:7" s="32" customFormat="1" x14ac:dyDescent="0.25">
      <c r="B299" s="39"/>
      <c r="D299" s="59"/>
      <c r="E299" s="68"/>
      <c r="F299" s="95"/>
      <c r="G299" s="21"/>
    </row>
    <row r="300" spans="2:7" s="32" customFormat="1" x14ac:dyDescent="0.25">
      <c r="B300" s="39"/>
      <c r="D300" s="59"/>
      <c r="E300" s="68"/>
      <c r="F300" s="95"/>
      <c r="G300" s="21"/>
    </row>
    <row r="301" spans="2:7" s="32" customFormat="1" x14ac:dyDescent="0.25">
      <c r="B301" s="39"/>
      <c r="D301" s="59"/>
      <c r="E301" s="68"/>
      <c r="F301" s="95"/>
      <c r="G301" s="21"/>
    </row>
    <row r="302" spans="2:7" s="32" customFormat="1" x14ac:dyDescent="0.25">
      <c r="B302" s="39"/>
      <c r="D302" s="59"/>
      <c r="E302" s="68"/>
      <c r="F302" s="95"/>
      <c r="G302" s="21"/>
    </row>
    <row r="303" spans="2:7" s="32" customFormat="1" x14ac:dyDescent="0.25">
      <c r="B303" s="39"/>
      <c r="D303" s="59"/>
      <c r="E303" s="68"/>
      <c r="F303" s="95"/>
      <c r="G303" s="21"/>
    </row>
    <row r="304" spans="2:7" s="32" customFormat="1" x14ac:dyDescent="0.25">
      <c r="B304" s="39"/>
      <c r="D304" s="59"/>
      <c r="E304" s="68"/>
      <c r="F304" s="95"/>
      <c r="G304" s="21"/>
    </row>
    <row r="305" spans="2:7" s="32" customFormat="1" x14ac:dyDescent="0.25">
      <c r="B305" s="39"/>
      <c r="D305" s="59"/>
      <c r="E305" s="68"/>
      <c r="F305" s="95"/>
      <c r="G305" s="21"/>
    </row>
    <row r="306" spans="2:7" s="32" customFormat="1" x14ac:dyDescent="0.25">
      <c r="B306" s="39"/>
      <c r="D306" s="59"/>
      <c r="E306" s="68"/>
      <c r="F306" s="95"/>
      <c r="G306" s="21"/>
    </row>
    <row r="307" spans="2:7" s="32" customFormat="1" x14ac:dyDescent="0.25">
      <c r="B307" s="39"/>
      <c r="D307" s="59"/>
      <c r="E307" s="68"/>
      <c r="F307" s="95"/>
      <c r="G307" s="21"/>
    </row>
    <row r="308" spans="2:7" s="32" customFormat="1" x14ac:dyDescent="0.25">
      <c r="B308" s="39"/>
      <c r="D308" s="59"/>
      <c r="E308" s="68"/>
      <c r="F308" s="95"/>
      <c r="G308" s="21"/>
    </row>
    <row r="309" spans="2:7" s="32" customFormat="1" x14ac:dyDescent="0.25">
      <c r="B309" s="39"/>
      <c r="D309" s="59"/>
      <c r="E309" s="68"/>
      <c r="F309" s="95"/>
      <c r="G309" s="21"/>
    </row>
    <row r="310" spans="2:7" s="32" customFormat="1" x14ac:dyDescent="0.25">
      <c r="B310" s="39"/>
      <c r="D310" s="59"/>
      <c r="E310" s="68"/>
      <c r="F310" s="95"/>
      <c r="G310" s="21"/>
    </row>
    <row r="311" spans="2:7" s="32" customFormat="1" x14ac:dyDescent="0.25">
      <c r="B311" s="39"/>
      <c r="D311" s="59"/>
      <c r="E311" s="68"/>
      <c r="F311" s="95"/>
      <c r="G311" s="21"/>
    </row>
    <row r="312" spans="2:7" s="32" customFormat="1" x14ac:dyDescent="0.25">
      <c r="B312" s="39"/>
      <c r="D312" s="59"/>
      <c r="E312" s="68"/>
      <c r="F312" s="95"/>
      <c r="G312" s="21"/>
    </row>
    <row r="313" spans="2:7" s="32" customFormat="1" x14ac:dyDescent="0.25">
      <c r="B313" s="39"/>
      <c r="D313" s="59"/>
      <c r="E313" s="68"/>
      <c r="F313" s="95"/>
      <c r="G313" s="21"/>
    </row>
    <row r="314" spans="2:7" s="32" customFormat="1" x14ac:dyDescent="0.25">
      <c r="B314" s="39"/>
      <c r="D314" s="59"/>
      <c r="E314" s="68"/>
      <c r="F314" s="95"/>
      <c r="G314" s="21"/>
    </row>
    <row r="315" spans="2:7" s="32" customFormat="1" x14ac:dyDescent="0.25">
      <c r="B315" s="39"/>
      <c r="D315" s="59"/>
      <c r="E315" s="68"/>
      <c r="F315" s="95"/>
      <c r="G315" s="21"/>
    </row>
    <row r="316" spans="2:7" s="32" customFormat="1" x14ac:dyDescent="0.25">
      <c r="B316" s="39"/>
      <c r="D316" s="59"/>
      <c r="E316" s="68"/>
      <c r="F316" s="95"/>
      <c r="G316" s="21"/>
    </row>
    <row r="317" spans="2:7" s="32" customFormat="1" x14ac:dyDescent="0.25">
      <c r="B317" s="39"/>
      <c r="D317" s="59"/>
      <c r="E317" s="68"/>
      <c r="F317" s="95"/>
      <c r="G317" s="21"/>
    </row>
    <row r="318" spans="2:7" s="32" customFormat="1" x14ac:dyDescent="0.25">
      <c r="B318" s="39"/>
      <c r="D318" s="59"/>
      <c r="E318" s="68"/>
      <c r="F318" s="95"/>
      <c r="G318" s="21"/>
    </row>
    <row r="319" spans="2:7" s="32" customFormat="1" x14ac:dyDescent="0.25">
      <c r="B319" s="39"/>
      <c r="D319" s="59"/>
      <c r="E319" s="68"/>
      <c r="F319" s="95"/>
      <c r="G319" s="21"/>
    </row>
    <row r="320" spans="2:7" s="32" customFormat="1" x14ac:dyDescent="0.25">
      <c r="B320" s="39"/>
      <c r="D320" s="59"/>
      <c r="E320" s="68"/>
      <c r="F320" s="95"/>
      <c r="G320" s="21"/>
    </row>
    <row r="321" spans="2:7" s="32" customFormat="1" x14ac:dyDescent="0.25">
      <c r="B321" s="39"/>
      <c r="D321" s="59"/>
      <c r="E321" s="68"/>
      <c r="F321" s="95"/>
      <c r="G321" s="21"/>
    </row>
    <row r="322" spans="2:7" s="32" customFormat="1" x14ac:dyDescent="0.25">
      <c r="B322" s="39"/>
      <c r="D322" s="59"/>
      <c r="E322" s="68"/>
      <c r="F322" s="95"/>
      <c r="G322" s="21"/>
    </row>
    <row r="323" spans="2:7" s="32" customFormat="1" x14ac:dyDescent="0.25">
      <c r="B323" s="39"/>
      <c r="D323" s="59"/>
      <c r="E323" s="68"/>
      <c r="F323" s="95"/>
      <c r="G323" s="21"/>
    </row>
    <row r="324" spans="2:7" s="32" customFormat="1" x14ac:dyDescent="0.25">
      <c r="B324" s="39"/>
      <c r="D324" s="59"/>
      <c r="E324" s="68"/>
      <c r="F324" s="95"/>
      <c r="G324" s="21"/>
    </row>
    <row r="325" spans="2:7" s="32" customFormat="1" x14ac:dyDescent="0.25">
      <c r="B325" s="39"/>
      <c r="D325" s="59"/>
      <c r="E325" s="68"/>
      <c r="F325" s="95"/>
      <c r="G325" s="21"/>
    </row>
    <row r="326" spans="2:7" s="32" customFormat="1" x14ac:dyDescent="0.25">
      <c r="B326" s="39"/>
      <c r="D326" s="59"/>
      <c r="E326" s="68"/>
      <c r="F326" s="95"/>
      <c r="G326" s="21"/>
    </row>
    <row r="327" spans="2:7" s="32" customFormat="1" x14ac:dyDescent="0.25">
      <c r="B327" s="39"/>
      <c r="D327" s="59"/>
      <c r="E327" s="68"/>
      <c r="F327" s="95"/>
      <c r="G327" s="21"/>
    </row>
    <row r="328" spans="2:7" s="32" customFormat="1" x14ac:dyDescent="0.25">
      <c r="B328" s="39"/>
      <c r="D328" s="59"/>
      <c r="E328" s="68"/>
      <c r="F328" s="95"/>
      <c r="G328" s="21"/>
    </row>
    <row r="329" spans="2:7" s="32" customFormat="1" x14ac:dyDescent="0.25">
      <c r="B329" s="39"/>
      <c r="D329" s="59"/>
      <c r="E329" s="68"/>
      <c r="F329" s="95"/>
      <c r="G329" s="21"/>
    </row>
    <row r="330" spans="2:7" s="32" customFormat="1" x14ac:dyDescent="0.25">
      <c r="B330" s="39"/>
      <c r="D330" s="59"/>
      <c r="E330" s="68"/>
      <c r="F330" s="95"/>
      <c r="G330" s="21"/>
    </row>
    <row r="331" spans="2:7" s="32" customFormat="1" x14ac:dyDescent="0.25">
      <c r="B331" s="39"/>
      <c r="D331" s="59"/>
      <c r="E331" s="68"/>
      <c r="F331" s="95"/>
      <c r="G331" s="21"/>
    </row>
    <row r="332" spans="2:7" s="32" customFormat="1" x14ac:dyDescent="0.25">
      <c r="B332" s="39"/>
      <c r="D332" s="59"/>
      <c r="E332" s="68"/>
      <c r="F332" s="95"/>
      <c r="G332" s="21"/>
    </row>
    <row r="333" spans="2:7" s="32" customFormat="1" x14ac:dyDescent="0.25">
      <c r="B333" s="39"/>
      <c r="D333" s="59"/>
      <c r="E333" s="68"/>
      <c r="F333" s="95"/>
      <c r="G333" s="21"/>
    </row>
    <row r="334" spans="2:7" s="32" customFormat="1" x14ac:dyDescent="0.25">
      <c r="B334" s="39"/>
      <c r="D334" s="59"/>
      <c r="E334" s="68"/>
      <c r="F334" s="95"/>
      <c r="G334" s="21"/>
    </row>
    <row r="335" spans="2:7" s="32" customFormat="1" x14ac:dyDescent="0.25">
      <c r="B335" s="39"/>
      <c r="D335" s="59"/>
      <c r="E335" s="68"/>
      <c r="F335" s="95"/>
      <c r="G335" s="21"/>
    </row>
    <row r="336" spans="2:7" s="32" customFormat="1" x14ac:dyDescent="0.25">
      <c r="B336" s="39"/>
      <c r="D336" s="59"/>
      <c r="E336" s="68"/>
      <c r="F336" s="95"/>
      <c r="G336" s="21"/>
    </row>
    <row r="337" spans="2:7" s="32" customFormat="1" x14ac:dyDescent="0.25">
      <c r="B337" s="39"/>
      <c r="D337" s="59"/>
      <c r="E337" s="68"/>
      <c r="F337" s="95"/>
      <c r="G337" s="21"/>
    </row>
    <row r="338" spans="2:7" s="32" customFormat="1" x14ac:dyDescent="0.25">
      <c r="B338" s="39"/>
      <c r="D338" s="59"/>
      <c r="E338" s="68"/>
      <c r="F338" s="95"/>
      <c r="G338" s="21"/>
    </row>
    <row r="339" spans="2:7" s="32" customFormat="1" x14ac:dyDescent="0.25">
      <c r="B339" s="39"/>
      <c r="D339" s="59"/>
      <c r="E339" s="68"/>
      <c r="F339" s="95"/>
      <c r="G339" s="21"/>
    </row>
    <row r="340" spans="2:7" s="32" customFormat="1" x14ac:dyDescent="0.25">
      <c r="B340" s="39"/>
      <c r="D340" s="59"/>
      <c r="E340" s="68"/>
      <c r="F340" s="95"/>
      <c r="G340" s="21"/>
    </row>
    <row r="341" spans="2:7" s="32" customFormat="1" x14ac:dyDescent="0.25">
      <c r="B341" s="39"/>
      <c r="D341" s="59"/>
      <c r="E341" s="68"/>
      <c r="F341" s="95"/>
      <c r="G341" s="21"/>
    </row>
    <row r="342" spans="2:7" s="32" customFormat="1" x14ac:dyDescent="0.25">
      <c r="B342" s="39"/>
      <c r="D342" s="59"/>
      <c r="E342" s="68"/>
      <c r="F342" s="95"/>
      <c r="G342" s="21"/>
    </row>
    <row r="343" spans="2:7" s="32" customFormat="1" x14ac:dyDescent="0.25">
      <c r="B343" s="39"/>
      <c r="D343" s="59"/>
      <c r="E343" s="68"/>
      <c r="F343" s="95"/>
      <c r="G343" s="21"/>
    </row>
    <row r="344" spans="2:7" s="32" customFormat="1" x14ac:dyDescent="0.25">
      <c r="B344" s="39"/>
      <c r="D344" s="59"/>
      <c r="E344" s="68"/>
      <c r="F344" s="95"/>
      <c r="G344" s="21"/>
    </row>
    <row r="345" spans="2:7" s="32" customFormat="1" x14ac:dyDescent="0.25">
      <c r="B345" s="39"/>
      <c r="D345" s="59"/>
      <c r="E345" s="68"/>
      <c r="F345" s="95"/>
      <c r="G345" s="21"/>
    </row>
    <row r="346" spans="2:7" s="32" customFormat="1" x14ac:dyDescent="0.25">
      <c r="B346" s="39"/>
      <c r="D346" s="59"/>
      <c r="E346" s="68"/>
      <c r="F346" s="95"/>
      <c r="G346" s="21"/>
    </row>
    <row r="347" spans="2:7" s="32" customFormat="1" x14ac:dyDescent="0.25">
      <c r="B347" s="39"/>
      <c r="D347" s="59"/>
      <c r="E347" s="68"/>
      <c r="F347" s="95"/>
      <c r="G347" s="21"/>
    </row>
    <row r="348" spans="2:7" s="32" customFormat="1" x14ac:dyDescent="0.25">
      <c r="B348" s="39"/>
      <c r="D348" s="59"/>
      <c r="E348" s="68"/>
      <c r="F348" s="95"/>
      <c r="G348" s="21"/>
    </row>
    <row r="349" spans="2:7" s="32" customFormat="1" x14ac:dyDescent="0.25">
      <c r="B349" s="39"/>
      <c r="D349" s="59"/>
      <c r="E349" s="68"/>
      <c r="F349" s="95"/>
      <c r="G349" s="21"/>
    </row>
    <row r="350" spans="2:7" s="32" customFormat="1" x14ac:dyDescent="0.25">
      <c r="B350" s="39"/>
      <c r="D350" s="59"/>
      <c r="E350" s="68"/>
      <c r="F350" s="95"/>
      <c r="G350" s="21"/>
    </row>
    <row r="351" spans="2:7" s="32" customFormat="1" x14ac:dyDescent="0.25">
      <c r="B351" s="39"/>
      <c r="D351" s="59"/>
      <c r="E351" s="68"/>
      <c r="F351" s="95"/>
      <c r="G351" s="21"/>
    </row>
    <row r="352" spans="2:7" s="32" customFormat="1" x14ac:dyDescent="0.25">
      <c r="B352" s="39"/>
      <c r="D352" s="59"/>
      <c r="E352" s="68"/>
      <c r="F352" s="95"/>
      <c r="G352" s="21"/>
    </row>
    <row r="353" spans="2:7" s="32" customFormat="1" x14ac:dyDescent="0.25">
      <c r="B353" s="39"/>
      <c r="D353" s="59"/>
      <c r="E353" s="68"/>
      <c r="F353" s="95"/>
      <c r="G353" s="21"/>
    </row>
    <row r="354" spans="2:7" s="32" customFormat="1" x14ac:dyDescent="0.25">
      <c r="B354" s="39"/>
      <c r="D354" s="59"/>
      <c r="E354" s="68"/>
      <c r="F354" s="95"/>
      <c r="G354" s="21"/>
    </row>
    <row r="355" spans="2:7" s="32" customFormat="1" x14ac:dyDescent="0.25">
      <c r="B355" s="39"/>
      <c r="D355" s="59"/>
      <c r="E355" s="68"/>
      <c r="F355" s="95"/>
      <c r="G355" s="21"/>
    </row>
    <row r="356" spans="2:7" s="32" customFormat="1" x14ac:dyDescent="0.25">
      <c r="B356" s="39"/>
      <c r="D356" s="59"/>
      <c r="E356" s="68"/>
      <c r="F356" s="95"/>
      <c r="G356" s="21"/>
    </row>
    <row r="357" spans="2:7" s="32" customFormat="1" x14ac:dyDescent="0.25">
      <c r="B357" s="39"/>
      <c r="D357" s="59"/>
      <c r="E357" s="68"/>
      <c r="F357" s="95"/>
      <c r="G357" s="21"/>
    </row>
    <row r="358" spans="2:7" s="32" customFormat="1" x14ac:dyDescent="0.25">
      <c r="B358" s="39"/>
      <c r="D358" s="59"/>
      <c r="E358" s="68"/>
      <c r="F358" s="95"/>
      <c r="G358" s="21"/>
    </row>
    <row r="359" spans="2:7" s="32" customFormat="1" x14ac:dyDescent="0.25">
      <c r="B359" s="39"/>
      <c r="D359" s="59"/>
      <c r="E359" s="68"/>
      <c r="F359" s="95"/>
      <c r="G359" s="21"/>
    </row>
    <row r="360" spans="2:7" s="32" customFormat="1" x14ac:dyDescent="0.25">
      <c r="B360" s="39"/>
      <c r="D360" s="59"/>
      <c r="E360" s="68"/>
      <c r="F360" s="95"/>
      <c r="G360" s="21"/>
    </row>
    <row r="361" spans="2:7" s="32" customFormat="1" x14ac:dyDescent="0.25">
      <c r="B361" s="39"/>
      <c r="D361" s="59"/>
      <c r="E361" s="68"/>
      <c r="F361" s="95"/>
      <c r="G361" s="21"/>
    </row>
    <row r="362" spans="2:7" s="32" customFormat="1" x14ac:dyDescent="0.25">
      <c r="B362" s="39"/>
      <c r="D362" s="59"/>
      <c r="E362" s="68"/>
      <c r="F362" s="95"/>
      <c r="G362" s="21"/>
    </row>
    <row r="363" spans="2:7" s="32" customFormat="1" x14ac:dyDescent="0.25">
      <c r="B363" s="39"/>
      <c r="D363" s="59"/>
      <c r="E363" s="68"/>
      <c r="F363" s="95"/>
      <c r="G363" s="21"/>
    </row>
    <row r="364" spans="2:7" s="32" customFormat="1" x14ac:dyDescent="0.25">
      <c r="B364" s="39"/>
      <c r="D364" s="59"/>
      <c r="E364" s="68"/>
      <c r="F364" s="95"/>
      <c r="G364" s="21"/>
    </row>
    <row r="365" spans="2:7" s="32" customFormat="1" x14ac:dyDescent="0.25">
      <c r="B365" s="39"/>
      <c r="D365" s="59"/>
      <c r="E365" s="68"/>
      <c r="F365" s="95"/>
      <c r="G365" s="21"/>
    </row>
    <row r="366" spans="2:7" s="32" customFormat="1" x14ac:dyDescent="0.25">
      <c r="B366" s="39"/>
      <c r="D366" s="59"/>
      <c r="E366" s="68"/>
      <c r="F366" s="95"/>
      <c r="G366" s="21"/>
    </row>
    <row r="367" spans="2:7" s="32" customFormat="1" x14ac:dyDescent="0.25">
      <c r="B367" s="39"/>
      <c r="D367" s="59"/>
      <c r="E367" s="68"/>
      <c r="F367" s="95"/>
      <c r="G367" s="21"/>
    </row>
    <row r="368" spans="2:7" s="32" customFormat="1" x14ac:dyDescent="0.25">
      <c r="B368" s="39"/>
      <c r="D368" s="59"/>
      <c r="E368" s="68"/>
      <c r="F368" s="95"/>
      <c r="G368" s="21"/>
    </row>
    <row r="369" spans="2:7" s="32" customFormat="1" x14ac:dyDescent="0.25">
      <c r="B369" s="39"/>
      <c r="D369" s="59"/>
      <c r="E369" s="68"/>
      <c r="F369" s="95"/>
      <c r="G369" s="21"/>
    </row>
    <row r="370" spans="2:7" s="32" customFormat="1" x14ac:dyDescent="0.25">
      <c r="B370" s="39"/>
      <c r="D370" s="59"/>
      <c r="E370" s="68"/>
      <c r="F370" s="95"/>
      <c r="G370" s="21"/>
    </row>
    <row r="371" spans="2:7" s="32" customFormat="1" x14ac:dyDescent="0.25">
      <c r="B371" s="39"/>
      <c r="D371" s="59"/>
      <c r="E371" s="68"/>
      <c r="F371" s="95"/>
      <c r="G371" s="21"/>
    </row>
    <row r="372" spans="2:7" s="32" customFormat="1" x14ac:dyDescent="0.25">
      <c r="B372" s="39"/>
      <c r="D372" s="59"/>
      <c r="E372" s="68"/>
      <c r="F372" s="95"/>
      <c r="G372" s="21"/>
    </row>
    <row r="373" spans="2:7" s="32" customFormat="1" x14ac:dyDescent="0.25">
      <c r="B373" s="39"/>
      <c r="D373" s="59"/>
      <c r="E373" s="68"/>
      <c r="F373" s="95"/>
      <c r="G373" s="21"/>
    </row>
    <row r="374" spans="2:7" s="32" customFormat="1" x14ac:dyDescent="0.25">
      <c r="B374" s="39"/>
      <c r="D374" s="59"/>
      <c r="E374" s="68"/>
      <c r="F374" s="95"/>
      <c r="G374" s="21"/>
    </row>
    <row r="375" spans="2:7" s="32" customFormat="1" x14ac:dyDescent="0.25">
      <c r="B375" s="39"/>
      <c r="D375" s="59"/>
      <c r="E375" s="68"/>
      <c r="F375" s="95"/>
      <c r="G375" s="21"/>
    </row>
    <row r="376" spans="2:7" s="32" customFormat="1" x14ac:dyDescent="0.25">
      <c r="B376" s="39"/>
      <c r="D376" s="59"/>
      <c r="E376" s="68"/>
      <c r="F376" s="95"/>
      <c r="G376" s="21"/>
    </row>
    <row r="377" spans="2:7" s="32" customFormat="1" x14ac:dyDescent="0.25">
      <c r="B377" s="39"/>
      <c r="D377" s="59"/>
      <c r="E377" s="68"/>
      <c r="F377" s="95"/>
      <c r="G377" s="21"/>
    </row>
    <row r="378" spans="2:7" s="32" customFormat="1" x14ac:dyDescent="0.25">
      <c r="B378" s="39"/>
      <c r="D378" s="59"/>
      <c r="E378" s="68"/>
      <c r="F378" s="95"/>
      <c r="G378" s="21"/>
    </row>
    <row r="379" spans="2:7" s="32" customFormat="1" x14ac:dyDescent="0.25">
      <c r="B379" s="39"/>
      <c r="D379" s="59"/>
      <c r="E379" s="68"/>
      <c r="F379" s="95"/>
      <c r="G379" s="21"/>
    </row>
    <row r="380" spans="2:7" s="32" customFormat="1" x14ac:dyDescent="0.25">
      <c r="B380" s="39"/>
      <c r="D380" s="59"/>
      <c r="E380" s="68"/>
      <c r="F380" s="95"/>
      <c r="G380" s="21"/>
    </row>
    <row r="381" spans="2:7" s="32" customFormat="1" x14ac:dyDescent="0.25">
      <c r="B381" s="39"/>
      <c r="D381" s="59"/>
      <c r="E381" s="68"/>
      <c r="F381" s="95"/>
      <c r="G381" s="21"/>
    </row>
    <row r="382" spans="2:7" s="32" customFormat="1" x14ac:dyDescent="0.25">
      <c r="B382" s="39"/>
      <c r="D382" s="59"/>
      <c r="E382" s="68"/>
      <c r="F382" s="95"/>
      <c r="G382" s="21"/>
    </row>
    <row r="383" spans="2:7" s="32" customFormat="1" x14ac:dyDescent="0.25">
      <c r="B383" s="39"/>
      <c r="D383" s="59"/>
      <c r="E383" s="68"/>
      <c r="F383" s="95"/>
      <c r="G383" s="21"/>
    </row>
    <row r="384" spans="2:7" s="32" customFormat="1" x14ac:dyDescent="0.25">
      <c r="B384" s="39"/>
      <c r="D384" s="59"/>
      <c r="E384" s="68"/>
      <c r="F384" s="95"/>
      <c r="G384" s="21"/>
    </row>
    <row r="385" spans="2:7" s="32" customFormat="1" x14ac:dyDescent="0.25">
      <c r="B385" s="39"/>
      <c r="D385" s="59"/>
      <c r="E385" s="68"/>
      <c r="F385" s="95"/>
      <c r="G385" s="21"/>
    </row>
    <row r="386" spans="2:7" s="32" customFormat="1" x14ac:dyDescent="0.25">
      <c r="B386" s="39"/>
      <c r="D386" s="59"/>
      <c r="E386" s="68"/>
      <c r="F386" s="95"/>
      <c r="G386" s="21"/>
    </row>
    <row r="387" spans="2:7" s="32" customFormat="1" x14ac:dyDescent="0.25">
      <c r="B387" s="39"/>
      <c r="D387" s="59"/>
      <c r="E387" s="68"/>
      <c r="F387" s="95"/>
      <c r="G387" s="21"/>
    </row>
    <row r="388" spans="2:7" s="32" customFormat="1" x14ac:dyDescent="0.25">
      <c r="B388" s="39"/>
      <c r="D388" s="59"/>
      <c r="E388" s="68"/>
      <c r="F388" s="95"/>
      <c r="G388" s="21"/>
    </row>
    <row r="389" spans="2:7" s="32" customFormat="1" x14ac:dyDescent="0.25">
      <c r="B389" s="39"/>
      <c r="D389" s="59"/>
      <c r="E389" s="68"/>
      <c r="F389" s="95"/>
      <c r="G389" s="21"/>
    </row>
    <row r="390" spans="2:7" s="32" customFormat="1" x14ac:dyDescent="0.25">
      <c r="B390" s="39"/>
      <c r="D390" s="59"/>
      <c r="E390" s="68"/>
      <c r="F390" s="95"/>
      <c r="G390" s="21"/>
    </row>
    <row r="391" spans="2:7" s="32" customFormat="1" x14ac:dyDescent="0.25">
      <c r="B391" s="39"/>
      <c r="D391" s="59"/>
      <c r="E391" s="68"/>
      <c r="F391" s="95"/>
      <c r="G391" s="21"/>
    </row>
    <row r="392" spans="2:7" s="32" customFormat="1" x14ac:dyDescent="0.25">
      <c r="B392" s="39"/>
      <c r="D392" s="59"/>
      <c r="E392" s="68"/>
      <c r="F392" s="95"/>
      <c r="G392" s="21"/>
    </row>
    <row r="393" spans="2:7" s="32" customFormat="1" x14ac:dyDescent="0.25">
      <c r="B393" s="39"/>
      <c r="D393" s="59"/>
      <c r="E393" s="68"/>
      <c r="F393" s="95"/>
      <c r="G393" s="21"/>
    </row>
    <row r="394" spans="2:7" s="32" customFormat="1" x14ac:dyDescent="0.25">
      <c r="B394" s="39"/>
      <c r="D394" s="59"/>
      <c r="E394" s="68"/>
      <c r="F394" s="95"/>
      <c r="G394" s="21"/>
    </row>
    <row r="395" spans="2:7" s="32" customFormat="1" x14ac:dyDescent="0.25">
      <c r="B395" s="39"/>
      <c r="D395" s="59"/>
      <c r="E395" s="68"/>
      <c r="F395" s="95"/>
      <c r="G395" s="21"/>
    </row>
    <row r="396" spans="2:7" s="32" customFormat="1" x14ac:dyDescent="0.25">
      <c r="B396" s="39"/>
      <c r="D396" s="59"/>
      <c r="E396" s="68"/>
      <c r="F396" s="95"/>
      <c r="G396" s="21"/>
    </row>
    <row r="397" spans="2:7" s="32" customFormat="1" x14ac:dyDescent="0.25">
      <c r="B397" s="39"/>
      <c r="D397" s="59"/>
      <c r="E397" s="68"/>
      <c r="F397" s="95"/>
      <c r="G397" s="21"/>
    </row>
    <row r="398" spans="2:7" s="32" customFormat="1" x14ac:dyDescent="0.25">
      <c r="B398" s="39"/>
      <c r="D398" s="59"/>
      <c r="E398" s="68"/>
      <c r="F398" s="95"/>
      <c r="G398" s="21"/>
    </row>
    <row r="399" spans="2:7" s="32" customFormat="1" x14ac:dyDescent="0.25">
      <c r="B399" s="39"/>
      <c r="D399" s="59"/>
      <c r="E399" s="68"/>
      <c r="F399" s="95"/>
      <c r="G399" s="21"/>
    </row>
    <row r="400" spans="2:7" s="32" customFormat="1" x14ac:dyDescent="0.25">
      <c r="B400" s="39"/>
      <c r="D400" s="59"/>
      <c r="E400" s="68"/>
      <c r="F400" s="95"/>
      <c r="G400" s="21"/>
    </row>
    <row r="401" spans="2:7" s="32" customFormat="1" x14ac:dyDescent="0.25">
      <c r="B401" s="39"/>
      <c r="D401" s="59"/>
      <c r="E401" s="68"/>
      <c r="F401" s="95"/>
      <c r="G401" s="21"/>
    </row>
    <row r="402" spans="2:7" s="32" customFormat="1" x14ac:dyDescent="0.25">
      <c r="B402" s="39"/>
      <c r="D402" s="59"/>
      <c r="E402" s="68"/>
      <c r="F402" s="95"/>
      <c r="G402" s="21"/>
    </row>
    <row r="403" spans="2:7" s="32" customFormat="1" x14ac:dyDescent="0.25">
      <c r="B403" s="39"/>
      <c r="D403" s="59"/>
      <c r="E403" s="68"/>
      <c r="F403" s="95"/>
      <c r="G403" s="21"/>
    </row>
    <row r="404" spans="2:7" s="32" customFormat="1" x14ac:dyDescent="0.25">
      <c r="B404" s="39"/>
      <c r="D404" s="59"/>
      <c r="E404" s="68"/>
      <c r="F404" s="95"/>
      <c r="G404" s="21"/>
    </row>
    <row r="405" spans="2:7" s="32" customFormat="1" x14ac:dyDescent="0.25">
      <c r="B405" s="39"/>
      <c r="D405" s="59"/>
      <c r="E405" s="68"/>
      <c r="F405" s="95"/>
      <c r="G405" s="21"/>
    </row>
    <row r="406" spans="2:7" s="32" customFormat="1" x14ac:dyDescent="0.25">
      <c r="B406" s="39"/>
      <c r="D406" s="59"/>
      <c r="E406" s="68"/>
      <c r="F406" s="95"/>
      <c r="G406" s="21"/>
    </row>
    <row r="407" spans="2:7" s="32" customFormat="1" x14ac:dyDescent="0.25">
      <c r="B407" s="39"/>
      <c r="D407" s="59"/>
      <c r="E407" s="68"/>
      <c r="F407" s="95"/>
      <c r="G407" s="21"/>
    </row>
    <row r="408" spans="2:7" s="32" customFormat="1" x14ac:dyDescent="0.25">
      <c r="B408" s="39"/>
      <c r="D408" s="59"/>
      <c r="E408" s="68"/>
      <c r="F408" s="95"/>
      <c r="G408" s="21"/>
    </row>
    <row r="409" spans="2:7" s="32" customFormat="1" x14ac:dyDescent="0.25">
      <c r="B409" s="39"/>
      <c r="D409" s="59"/>
      <c r="E409" s="68"/>
      <c r="F409" s="95"/>
      <c r="G409" s="21"/>
    </row>
    <row r="410" spans="2:7" s="32" customFormat="1" x14ac:dyDescent="0.25">
      <c r="B410" s="39"/>
      <c r="D410" s="59"/>
      <c r="E410" s="68"/>
      <c r="F410" s="95"/>
      <c r="G410" s="21"/>
    </row>
    <row r="411" spans="2:7" s="32" customFormat="1" x14ac:dyDescent="0.25">
      <c r="B411" s="39"/>
      <c r="D411" s="59"/>
      <c r="E411" s="68"/>
      <c r="F411" s="95"/>
      <c r="G411" s="21"/>
    </row>
    <row r="412" spans="2:7" s="32" customFormat="1" x14ac:dyDescent="0.25">
      <c r="B412" s="39"/>
      <c r="D412" s="59"/>
      <c r="E412" s="68"/>
      <c r="F412" s="95"/>
      <c r="G412" s="21"/>
    </row>
    <row r="413" spans="2:7" s="32" customFormat="1" x14ac:dyDescent="0.25">
      <c r="B413" s="39"/>
      <c r="D413" s="59"/>
      <c r="E413" s="68"/>
      <c r="F413" s="95"/>
      <c r="G413" s="21"/>
    </row>
    <row r="414" spans="2:7" s="32" customFormat="1" x14ac:dyDescent="0.25">
      <c r="B414" s="39"/>
      <c r="D414" s="59"/>
      <c r="E414" s="68"/>
      <c r="F414" s="95"/>
      <c r="G414" s="21"/>
    </row>
    <row r="415" spans="2:7" s="32" customFormat="1" x14ac:dyDescent="0.25">
      <c r="B415" s="39"/>
      <c r="D415" s="59"/>
      <c r="E415" s="68"/>
      <c r="F415" s="95"/>
      <c r="G415" s="21"/>
    </row>
    <row r="416" spans="2:7" s="32" customFormat="1" x14ac:dyDescent="0.25">
      <c r="B416" s="39"/>
      <c r="D416" s="59"/>
      <c r="E416" s="68"/>
      <c r="F416" s="95"/>
      <c r="G416" s="21"/>
    </row>
    <row r="417" spans="2:7" s="32" customFormat="1" x14ac:dyDescent="0.25">
      <c r="B417" s="39"/>
      <c r="D417" s="59"/>
      <c r="E417" s="68"/>
      <c r="F417" s="95"/>
      <c r="G417" s="21"/>
    </row>
    <row r="418" spans="2:7" s="32" customFormat="1" x14ac:dyDescent="0.25">
      <c r="B418" s="39"/>
      <c r="D418" s="59"/>
      <c r="E418" s="68"/>
      <c r="F418" s="95"/>
      <c r="G418" s="21"/>
    </row>
    <row r="419" spans="2:7" s="32" customFormat="1" x14ac:dyDescent="0.25">
      <c r="B419" s="39"/>
      <c r="D419" s="59"/>
      <c r="E419" s="68"/>
      <c r="F419" s="95"/>
      <c r="G419" s="21"/>
    </row>
    <row r="420" spans="2:7" s="32" customFormat="1" x14ac:dyDescent="0.25">
      <c r="B420" s="39"/>
      <c r="D420" s="59"/>
      <c r="E420" s="68"/>
      <c r="F420" s="95"/>
      <c r="G420" s="21"/>
    </row>
    <row r="421" spans="2:7" s="32" customFormat="1" x14ac:dyDescent="0.25">
      <c r="B421" s="39"/>
      <c r="D421" s="59"/>
      <c r="E421" s="68"/>
      <c r="F421" s="95"/>
      <c r="G421" s="21"/>
    </row>
    <row r="422" spans="2:7" s="32" customFormat="1" x14ac:dyDescent="0.25">
      <c r="B422" s="39"/>
      <c r="D422" s="59"/>
      <c r="E422" s="68"/>
      <c r="F422" s="95"/>
      <c r="G422" s="21"/>
    </row>
    <row r="423" spans="2:7" s="32" customFormat="1" x14ac:dyDescent="0.25">
      <c r="B423" s="39"/>
      <c r="D423" s="59"/>
      <c r="E423" s="68"/>
      <c r="F423" s="95"/>
      <c r="G423" s="21"/>
    </row>
    <row r="424" spans="2:7" s="32" customFormat="1" x14ac:dyDescent="0.25">
      <c r="B424" s="39"/>
      <c r="D424" s="59"/>
      <c r="E424" s="68"/>
      <c r="F424" s="95"/>
      <c r="G424" s="21"/>
    </row>
    <row r="425" spans="2:7" s="32" customFormat="1" x14ac:dyDescent="0.25">
      <c r="B425" s="39"/>
      <c r="D425" s="59"/>
      <c r="E425" s="68"/>
      <c r="F425" s="95"/>
      <c r="G425" s="21"/>
    </row>
    <row r="426" spans="2:7" s="32" customFormat="1" x14ac:dyDescent="0.25">
      <c r="B426" s="39"/>
      <c r="D426" s="59"/>
      <c r="E426" s="68"/>
      <c r="F426" s="95"/>
      <c r="G426" s="21"/>
    </row>
    <row r="427" spans="2:7" s="32" customFormat="1" x14ac:dyDescent="0.25">
      <c r="B427" s="39"/>
      <c r="D427" s="59"/>
      <c r="E427" s="68"/>
      <c r="F427" s="95"/>
      <c r="G427" s="21"/>
    </row>
    <row r="428" spans="2:7" s="32" customFormat="1" x14ac:dyDescent="0.25">
      <c r="B428" s="39"/>
      <c r="D428" s="59"/>
      <c r="E428" s="68"/>
      <c r="F428" s="95"/>
      <c r="G428" s="21"/>
    </row>
    <row r="429" spans="2:7" s="32" customFormat="1" x14ac:dyDescent="0.25">
      <c r="B429" s="39"/>
      <c r="D429" s="59"/>
      <c r="E429" s="68"/>
      <c r="F429" s="95"/>
      <c r="G429" s="21"/>
    </row>
    <row r="430" spans="2:7" s="32" customFormat="1" x14ac:dyDescent="0.25">
      <c r="B430" s="39"/>
      <c r="D430" s="59"/>
      <c r="E430" s="68"/>
      <c r="F430" s="95"/>
      <c r="G430" s="21"/>
    </row>
    <row r="431" spans="2:7" s="32" customFormat="1" x14ac:dyDescent="0.25">
      <c r="B431" s="39"/>
      <c r="D431" s="59"/>
      <c r="E431" s="68"/>
      <c r="F431" s="95"/>
      <c r="G431" s="21"/>
    </row>
    <row r="432" spans="2:7" s="32" customFormat="1" x14ac:dyDescent="0.25">
      <c r="B432" s="39"/>
      <c r="D432" s="59"/>
      <c r="E432" s="68"/>
      <c r="F432" s="95"/>
      <c r="G432" s="21"/>
    </row>
    <row r="433" spans="2:7" s="32" customFormat="1" x14ac:dyDescent="0.25">
      <c r="B433" s="39"/>
      <c r="D433" s="59"/>
      <c r="E433" s="68"/>
      <c r="F433" s="95"/>
      <c r="G433" s="21"/>
    </row>
    <row r="434" spans="2:7" s="32" customFormat="1" x14ac:dyDescent="0.25">
      <c r="B434" s="39"/>
      <c r="D434" s="59"/>
      <c r="E434" s="68"/>
      <c r="F434" s="95"/>
      <c r="G434" s="21"/>
    </row>
    <row r="435" spans="2:7" s="32" customFormat="1" x14ac:dyDescent="0.25">
      <c r="B435" s="39"/>
      <c r="D435" s="59"/>
      <c r="E435" s="68"/>
      <c r="F435" s="95"/>
      <c r="G435" s="21"/>
    </row>
    <row r="436" spans="2:7" s="32" customFormat="1" x14ac:dyDescent="0.25">
      <c r="B436" s="39"/>
      <c r="D436" s="59"/>
      <c r="E436" s="68"/>
      <c r="F436" s="95"/>
      <c r="G436" s="21"/>
    </row>
    <row r="437" spans="2:7" s="32" customFormat="1" x14ac:dyDescent="0.25">
      <c r="B437" s="39"/>
      <c r="D437" s="59"/>
      <c r="E437" s="68"/>
      <c r="F437" s="95"/>
      <c r="G437" s="21"/>
    </row>
    <row r="438" spans="2:7" s="32" customFormat="1" x14ac:dyDescent="0.25">
      <c r="B438" s="39"/>
      <c r="D438" s="59"/>
      <c r="E438" s="68"/>
      <c r="F438" s="95"/>
      <c r="G438" s="21"/>
    </row>
    <row r="439" spans="2:7" s="32" customFormat="1" x14ac:dyDescent="0.25">
      <c r="B439" s="39"/>
      <c r="D439" s="59"/>
      <c r="E439" s="68"/>
      <c r="F439" s="95"/>
      <c r="G439" s="21"/>
    </row>
    <row r="440" spans="2:7" s="32" customFormat="1" x14ac:dyDescent="0.25">
      <c r="B440" s="39"/>
      <c r="D440" s="59"/>
      <c r="E440" s="68"/>
      <c r="F440" s="95"/>
      <c r="G440" s="21"/>
    </row>
    <row r="441" spans="2:7" s="32" customFormat="1" x14ac:dyDescent="0.25">
      <c r="B441" s="39"/>
      <c r="D441" s="59"/>
      <c r="E441" s="68"/>
      <c r="F441" s="95"/>
      <c r="G441" s="21"/>
    </row>
    <row r="442" spans="2:7" s="32" customFormat="1" x14ac:dyDescent="0.25">
      <c r="B442" s="39"/>
      <c r="D442" s="59"/>
      <c r="E442" s="68"/>
      <c r="F442" s="95"/>
      <c r="G442" s="21"/>
    </row>
    <row r="443" spans="2:7" s="32" customFormat="1" x14ac:dyDescent="0.25">
      <c r="B443" s="39"/>
      <c r="D443" s="59"/>
      <c r="E443" s="68"/>
      <c r="F443" s="95"/>
      <c r="G443" s="21"/>
    </row>
    <row r="444" spans="2:7" s="32" customFormat="1" x14ac:dyDescent="0.25">
      <c r="B444" s="39"/>
      <c r="D444" s="59"/>
      <c r="E444" s="68"/>
      <c r="F444" s="95"/>
      <c r="G444" s="21"/>
    </row>
    <row r="445" spans="2:7" s="32" customFormat="1" x14ac:dyDescent="0.25">
      <c r="B445" s="39"/>
      <c r="D445" s="59"/>
      <c r="E445" s="68"/>
      <c r="F445" s="95"/>
      <c r="G445" s="21"/>
    </row>
    <row r="446" spans="2:7" s="32" customFormat="1" x14ac:dyDescent="0.25">
      <c r="B446" s="39"/>
      <c r="D446" s="59"/>
      <c r="E446" s="68"/>
      <c r="F446" s="95"/>
      <c r="G446" s="21"/>
    </row>
    <row r="447" spans="2:7" s="32" customFormat="1" x14ac:dyDescent="0.25">
      <c r="B447" s="39"/>
      <c r="D447" s="59"/>
      <c r="E447" s="68"/>
      <c r="F447" s="95"/>
      <c r="G447" s="21"/>
    </row>
    <row r="448" spans="2:7" s="32" customFormat="1" x14ac:dyDescent="0.25">
      <c r="B448" s="39"/>
      <c r="D448" s="59"/>
      <c r="E448" s="68"/>
      <c r="F448" s="95"/>
      <c r="G448" s="21"/>
    </row>
    <row r="449" spans="2:7" s="32" customFormat="1" x14ac:dyDescent="0.25">
      <c r="B449" s="39"/>
      <c r="D449" s="59"/>
      <c r="E449" s="68"/>
      <c r="F449" s="95"/>
      <c r="G449" s="21"/>
    </row>
    <row r="450" spans="2:7" s="32" customFormat="1" x14ac:dyDescent="0.25">
      <c r="B450" s="39"/>
      <c r="D450" s="59"/>
      <c r="E450" s="68"/>
      <c r="F450" s="95"/>
      <c r="G450" s="21"/>
    </row>
    <row r="451" spans="2:7" s="32" customFormat="1" x14ac:dyDescent="0.25">
      <c r="B451" s="39"/>
      <c r="D451" s="59"/>
      <c r="E451" s="68"/>
      <c r="F451" s="95"/>
      <c r="G451" s="21"/>
    </row>
    <row r="452" spans="2:7" s="32" customFormat="1" x14ac:dyDescent="0.25">
      <c r="B452" s="39"/>
      <c r="D452" s="59"/>
      <c r="E452" s="68"/>
      <c r="F452" s="95"/>
      <c r="G452" s="21"/>
    </row>
    <row r="453" spans="2:7" s="32" customFormat="1" x14ac:dyDescent="0.25">
      <c r="B453" s="39"/>
      <c r="D453" s="59"/>
      <c r="E453" s="68"/>
      <c r="F453" s="95"/>
      <c r="G453" s="21"/>
    </row>
    <row r="454" spans="2:7" s="32" customFormat="1" x14ac:dyDescent="0.25">
      <c r="B454" s="39"/>
      <c r="D454" s="59"/>
      <c r="E454" s="68"/>
      <c r="F454" s="95"/>
      <c r="G454" s="21"/>
    </row>
    <row r="455" spans="2:7" s="32" customFormat="1" x14ac:dyDescent="0.25">
      <c r="B455" s="39"/>
      <c r="D455" s="59"/>
      <c r="E455" s="68"/>
      <c r="F455" s="95"/>
      <c r="G455" s="21"/>
    </row>
    <row r="456" spans="2:7" s="32" customFormat="1" x14ac:dyDescent="0.25">
      <c r="B456" s="39"/>
      <c r="D456" s="59"/>
      <c r="E456" s="68"/>
      <c r="F456" s="95"/>
      <c r="G456" s="21"/>
    </row>
    <row r="457" spans="2:7" s="32" customFormat="1" x14ac:dyDescent="0.25">
      <c r="B457" s="39"/>
      <c r="D457" s="59"/>
      <c r="E457" s="68"/>
      <c r="F457" s="95"/>
      <c r="G457" s="21"/>
    </row>
    <row r="458" spans="2:7" s="32" customFormat="1" x14ac:dyDescent="0.25">
      <c r="B458" s="39"/>
      <c r="D458" s="59"/>
      <c r="E458" s="68"/>
      <c r="F458" s="95"/>
      <c r="G458" s="21"/>
    </row>
    <row r="459" spans="2:7" s="32" customFormat="1" x14ac:dyDescent="0.25">
      <c r="B459" s="39"/>
      <c r="D459" s="59"/>
      <c r="E459" s="68"/>
      <c r="F459" s="95"/>
      <c r="G459" s="21"/>
    </row>
    <row r="460" spans="2:7" s="32" customFormat="1" x14ac:dyDescent="0.25">
      <c r="B460" s="39"/>
      <c r="D460" s="59"/>
      <c r="E460" s="68"/>
      <c r="F460" s="95"/>
      <c r="G460" s="21"/>
    </row>
    <row r="461" spans="2:7" s="32" customFormat="1" x14ac:dyDescent="0.25">
      <c r="B461" s="39"/>
      <c r="D461" s="59"/>
      <c r="E461" s="68"/>
      <c r="F461" s="95"/>
      <c r="G461" s="21"/>
    </row>
    <row r="462" spans="2:7" s="32" customFormat="1" x14ac:dyDescent="0.25">
      <c r="B462" s="39"/>
      <c r="D462" s="59"/>
      <c r="E462" s="68"/>
      <c r="F462" s="95"/>
      <c r="G462" s="21"/>
    </row>
    <row r="463" spans="2:7" s="32" customFormat="1" x14ac:dyDescent="0.25">
      <c r="B463" s="39"/>
      <c r="D463" s="59"/>
      <c r="E463" s="68"/>
      <c r="F463" s="95"/>
      <c r="G463" s="21"/>
    </row>
    <row r="464" spans="2:7" s="32" customFormat="1" x14ac:dyDescent="0.25">
      <c r="B464" s="39"/>
      <c r="D464" s="59"/>
      <c r="E464" s="68"/>
      <c r="F464" s="95"/>
      <c r="G464" s="21"/>
    </row>
    <row r="465" spans="2:7" s="32" customFormat="1" x14ac:dyDescent="0.25">
      <c r="B465" s="39"/>
      <c r="D465" s="59"/>
      <c r="E465" s="68"/>
      <c r="F465" s="95"/>
      <c r="G465" s="21"/>
    </row>
    <row r="466" spans="2:7" s="32" customFormat="1" x14ac:dyDescent="0.25">
      <c r="B466" s="39"/>
      <c r="D466" s="59"/>
      <c r="E466" s="68"/>
      <c r="F466" s="95"/>
      <c r="G466" s="21"/>
    </row>
    <row r="467" spans="2:7" s="32" customFormat="1" x14ac:dyDescent="0.25">
      <c r="B467" s="39"/>
      <c r="D467" s="59"/>
      <c r="E467" s="68"/>
      <c r="F467" s="95"/>
      <c r="G467" s="21"/>
    </row>
    <row r="468" spans="2:7" s="32" customFormat="1" x14ac:dyDescent="0.25">
      <c r="B468" s="39"/>
      <c r="D468" s="59"/>
      <c r="E468" s="68"/>
      <c r="F468" s="95"/>
      <c r="G468" s="21"/>
    </row>
    <row r="469" spans="2:7" s="32" customFormat="1" x14ac:dyDescent="0.25">
      <c r="B469" s="39"/>
      <c r="D469" s="59"/>
      <c r="E469" s="68"/>
      <c r="F469" s="95"/>
      <c r="G469" s="21"/>
    </row>
    <row r="470" spans="2:7" s="32" customFormat="1" x14ac:dyDescent="0.25">
      <c r="B470" s="39"/>
      <c r="D470" s="59"/>
      <c r="E470" s="68"/>
      <c r="F470" s="95"/>
      <c r="G470" s="21"/>
    </row>
    <row r="471" spans="2:7" s="32" customFormat="1" x14ac:dyDescent="0.25">
      <c r="B471" s="39"/>
      <c r="D471" s="59"/>
      <c r="E471" s="68"/>
      <c r="F471" s="95"/>
      <c r="G471" s="21"/>
    </row>
    <row r="472" spans="2:7" s="32" customFormat="1" x14ac:dyDescent="0.25">
      <c r="B472" s="39"/>
      <c r="D472" s="59"/>
      <c r="E472" s="68"/>
      <c r="F472" s="95"/>
      <c r="G472" s="21"/>
    </row>
    <row r="473" spans="2:7" s="32" customFormat="1" x14ac:dyDescent="0.25">
      <c r="B473" s="39"/>
      <c r="D473" s="59"/>
      <c r="E473" s="68"/>
      <c r="F473" s="95"/>
      <c r="G473" s="21"/>
    </row>
    <row r="474" spans="2:7" s="32" customFormat="1" x14ac:dyDescent="0.25">
      <c r="B474" s="39"/>
      <c r="D474" s="59"/>
      <c r="E474" s="68"/>
      <c r="F474" s="95"/>
      <c r="G474" s="21"/>
    </row>
    <row r="475" spans="2:7" s="32" customFormat="1" x14ac:dyDescent="0.25">
      <c r="B475" s="39"/>
      <c r="D475" s="59"/>
      <c r="E475" s="68"/>
      <c r="F475" s="95"/>
      <c r="G475" s="21"/>
    </row>
    <row r="476" spans="2:7" s="32" customFormat="1" x14ac:dyDescent="0.25">
      <c r="B476" s="39"/>
      <c r="D476" s="59"/>
      <c r="E476" s="68"/>
      <c r="F476" s="95"/>
      <c r="G476" s="21"/>
    </row>
    <row r="477" spans="2:7" s="32" customFormat="1" x14ac:dyDescent="0.25">
      <c r="B477" s="39"/>
      <c r="D477" s="59"/>
      <c r="E477" s="68"/>
      <c r="F477" s="95"/>
      <c r="G477" s="21"/>
    </row>
    <row r="478" spans="2:7" s="32" customFormat="1" x14ac:dyDescent="0.25">
      <c r="B478" s="39"/>
      <c r="D478" s="59"/>
      <c r="E478" s="68"/>
      <c r="F478" s="95"/>
      <c r="G478" s="21"/>
    </row>
    <row r="479" spans="2:7" s="32" customFormat="1" x14ac:dyDescent="0.25">
      <c r="B479" s="39"/>
      <c r="D479" s="59"/>
      <c r="E479" s="68"/>
      <c r="F479" s="95"/>
      <c r="G479" s="21"/>
    </row>
    <row r="480" spans="2:7" s="32" customFormat="1" x14ac:dyDescent="0.25">
      <c r="B480" s="39"/>
      <c r="D480" s="59"/>
      <c r="E480" s="68"/>
      <c r="F480" s="95"/>
      <c r="G480" s="21"/>
    </row>
    <row r="481" spans="2:7" s="32" customFormat="1" x14ac:dyDescent="0.25">
      <c r="B481" s="39"/>
      <c r="D481" s="59"/>
      <c r="E481" s="68"/>
      <c r="F481" s="95"/>
      <c r="G481" s="21"/>
    </row>
    <row r="482" spans="2:7" s="32" customFormat="1" x14ac:dyDescent="0.25">
      <c r="B482" s="39"/>
      <c r="D482" s="59"/>
      <c r="E482" s="68"/>
      <c r="F482" s="95"/>
      <c r="G482" s="21"/>
    </row>
    <row r="483" spans="2:7" s="32" customFormat="1" x14ac:dyDescent="0.25">
      <c r="B483" s="39"/>
      <c r="D483" s="59"/>
      <c r="E483" s="68"/>
      <c r="F483" s="95"/>
      <c r="G483" s="21"/>
    </row>
    <row r="484" spans="2:7" s="32" customFormat="1" x14ac:dyDescent="0.25">
      <c r="B484" s="39"/>
      <c r="D484" s="59"/>
      <c r="E484" s="68"/>
      <c r="F484" s="95"/>
      <c r="G484" s="21"/>
    </row>
    <row r="485" spans="2:7" s="32" customFormat="1" x14ac:dyDescent="0.25">
      <c r="B485" s="39"/>
      <c r="D485" s="59"/>
      <c r="E485" s="68"/>
      <c r="F485" s="95"/>
      <c r="G485" s="21"/>
    </row>
    <row r="486" spans="2:7" s="32" customFormat="1" x14ac:dyDescent="0.25">
      <c r="B486" s="39"/>
      <c r="D486" s="59"/>
      <c r="E486" s="68"/>
      <c r="F486" s="95"/>
      <c r="G486" s="21"/>
    </row>
    <row r="487" spans="2:7" s="32" customFormat="1" x14ac:dyDescent="0.25">
      <c r="B487" s="39"/>
      <c r="D487" s="59"/>
      <c r="E487" s="68"/>
      <c r="F487" s="95"/>
      <c r="G487" s="21"/>
    </row>
    <row r="488" spans="2:7" s="32" customFormat="1" x14ac:dyDescent="0.25">
      <c r="B488" s="39"/>
      <c r="D488" s="59"/>
      <c r="E488" s="68"/>
      <c r="F488" s="95"/>
      <c r="G488" s="21"/>
    </row>
    <row r="489" spans="2:7" s="32" customFormat="1" x14ac:dyDescent="0.25">
      <c r="B489" s="39"/>
      <c r="D489" s="59"/>
      <c r="E489" s="68"/>
      <c r="F489" s="95"/>
      <c r="G489" s="21"/>
    </row>
    <row r="490" spans="2:7" s="32" customFormat="1" x14ac:dyDescent="0.25">
      <c r="B490" s="39"/>
      <c r="D490" s="59"/>
      <c r="E490" s="68"/>
      <c r="F490" s="95"/>
      <c r="G490" s="21"/>
    </row>
    <row r="491" spans="2:7" s="32" customFormat="1" x14ac:dyDescent="0.25">
      <c r="B491" s="39"/>
      <c r="D491" s="59"/>
      <c r="E491" s="68"/>
      <c r="F491" s="95"/>
      <c r="G491" s="21"/>
    </row>
    <row r="492" spans="2:7" s="32" customFormat="1" x14ac:dyDescent="0.25">
      <c r="B492" s="39"/>
      <c r="D492" s="59"/>
      <c r="E492" s="68"/>
      <c r="F492" s="95"/>
      <c r="G492" s="21"/>
    </row>
    <row r="493" spans="2:7" s="32" customFormat="1" x14ac:dyDescent="0.25">
      <c r="B493" s="39"/>
      <c r="D493" s="59"/>
      <c r="E493" s="68"/>
      <c r="F493" s="95"/>
      <c r="G493" s="21"/>
    </row>
    <row r="494" spans="2:7" s="32" customFormat="1" x14ac:dyDescent="0.25">
      <c r="B494" s="39"/>
      <c r="D494" s="59"/>
      <c r="E494" s="68"/>
      <c r="F494" s="95"/>
      <c r="G494" s="21"/>
    </row>
    <row r="495" spans="2:7" s="32" customFormat="1" x14ac:dyDescent="0.25">
      <c r="B495" s="39"/>
      <c r="D495" s="59"/>
      <c r="E495" s="68"/>
      <c r="F495" s="95"/>
      <c r="G495" s="21"/>
    </row>
    <row r="496" spans="2:7" s="32" customFormat="1" x14ac:dyDescent="0.25">
      <c r="B496" s="39"/>
      <c r="D496" s="59"/>
      <c r="E496" s="68"/>
      <c r="F496" s="95"/>
      <c r="G496" s="21"/>
    </row>
    <row r="497" spans="2:7" s="32" customFormat="1" x14ac:dyDescent="0.25">
      <c r="B497" s="39"/>
      <c r="D497" s="59"/>
      <c r="E497" s="68"/>
      <c r="F497" s="95"/>
      <c r="G497" s="21"/>
    </row>
    <row r="498" spans="2:7" s="32" customFormat="1" x14ac:dyDescent="0.25">
      <c r="B498" s="39"/>
      <c r="D498" s="59"/>
      <c r="E498" s="68"/>
      <c r="F498" s="95"/>
      <c r="G498" s="21"/>
    </row>
    <row r="499" spans="2:7" s="32" customFormat="1" x14ac:dyDescent="0.25">
      <c r="B499" s="39"/>
      <c r="D499" s="59"/>
      <c r="E499" s="68"/>
      <c r="F499" s="95"/>
      <c r="G499" s="21"/>
    </row>
    <row r="500" spans="2:7" s="32" customFormat="1" x14ac:dyDescent="0.25">
      <c r="B500" s="39"/>
      <c r="D500" s="59"/>
      <c r="E500" s="68"/>
      <c r="F500" s="95"/>
      <c r="G500" s="21"/>
    </row>
    <row r="501" spans="2:7" s="32" customFormat="1" x14ac:dyDescent="0.25">
      <c r="B501" s="39"/>
      <c r="D501" s="59"/>
      <c r="E501" s="68"/>
      <c r="F501" s="95"/>
      <c r="G501" s="21"/>
    </row>
    <row r="502" spans="2:7" s="32" customFormat="1" x14ac:dyDescent="0.25">
      <c r="B502" s="39"/>
      <c r="D502" s="59"/>
      <c r="E502" s="68"/>
      <c r="F502" s="95"/>
      <c r="G502" s="21"/>
    </row>
    <row r="503" spans="2:7" s="32" customFormat="1" x14ac:dyDescent="0.25">
      <c r="B503" s="39"/>
      <c r="D503" s="59"/>
      <c r="E503" s="68"/>
      <c r="F503" s="95"/>
      <c r="G503" s="21"/>
    </row>
    <row r="504" spans="2:7" s="32" customFormat="1" x14ac:dyDescent="0.25">
      <c r="B504" s="39"/>
      <c r="D504" s="59"/>
      <c r="E504" s="68"/>
      <c r="F504" s="95"/>
      <c r="G504" s="21"/>
    </row>
    <row r="505" spans="2:7" s="32" customFormat="1" x14ac:dyDescent="0.25">
      <c r="B505" s="39"/>
      <c r="D505" s="59"/>
      <c r="E505" s="68"/>
      <c r="F505" s="95"/>
      <c r="G505" s="21"/>
    </row>
    <row r="506" spans="2:7" s="32" customFormat="1" x14ac:dyDescent="0.25">
      <c r="B506" s="39"/>
      <c r="D506" s="59"/>
      <c r="E506" s="68"/>
      <c r="F506" s="95"/>
      <c r="G506" s="21"/>
    </row>
    <row r="507" spans="2:7" s="32" customFormat="1" x14ac:dyDescent="0.25">
      <c r="B507" s="39"/>
      <c r="D507" s="59"/>
      <c r="E507" s="68"/>
      <c r="F507" s="95"/>
      <c r="G507" s="21"/>
    </row>
    <row r="508" spans="2:7" s="32" customFormat="1" x14ac:dyDescent="0.25">
      <c r="B508" s="39"/>
      <c r="D508" s="59"/>
      <c r="E508" s="68"/>
      <c r="F508" s="95"/>
      <c r="G508" s="21"/>
    </row>
    <row r="509" spans="2:7" s="32" customFormat="1" x14ac:dyDescent="0.25">
      <c r="B509" s="39"/>
      <c r="D509" s="59"/>
      <c r="E509" s="68"/>
      <c r="F509" s="95"/>
      <c r="G509" s="21"/>
    </row>
    <row r="510" spans="2:7" s="32" customFormat="1" x14ac:dyDescent="0.25">
      <c r="B510" s="39"/>
      <c r="D510" s="59"/>
      <c r="E510" s="68"/>
      <c r="F510" s="95"/>
      <c r="G510" s="21"/>
    </row>
    <row r="511" spans="2:7" s="32" customFormat="1" x14ac:dyDescent="0.25">
      <c r="B511" s="39"/>
      <c r="D511" s="59"/>
      <c r="E511" s="68"/>
      <c r="F511" s="95"/>
      <c r="G511" s="21"/>
    </row>
    <row r="512" spans="2:7" s="32" customFormat="1" x14ac:dyDescent="0.25">
      <c r="B512" s="39"/>
      <c r="D512" s="59"/>
      <c r="E512" s="68"/>
      <c r="F512" s="95"/>
      <c r="G512" s="21"/>
    </row>
    <row r="513" spans="2:7" s="32" customFormat="1" x14ac:dyDescent="0.25">
      <c r="B513" s="39"/>
      <c r="D513" s="59"/>
      <c r="E513" s="68"/>
      <c r="F513" s="95"/>
      <c r="G513" s="21"/>
    </row>
    <row r="514" spans="2:7" s="32" customFormat="1" x14ac:dyDescent="0.25">
      <c r="B514" s="39"/>
      <c r="D514" s="59"/>
      <c r="E514" s="68"/>
      <c r="F514" s="95"/>
      <c r="G514" s="21"/>
    </row>
    <row r="515" spans="2:7" s="32" customFormat="1" x14ac:dyDescent="0.25">
      <c r="B515" s="39"/>
      <c r="D515" s="59"/>
      <c r="E515" s="68"/>
      <c r="F515" s="95"/>
      <c r="G515" s="21"/>
    </row>
    <row r="516" spans="2:7" s="32" customFormat="1" x14ac:dyDescent="0.25">
      <c r="B516" s="39"/>
      <c r="D516" s="59"/>
      <c r="E516" s="68"/>
      <c r="F516" s="95"/>
      <c r="G516" s="21"/>
    </row>
    <row r="517" spans="2:7" s="32" customFormat="1" x14ac:dyDescent="0.25">
      <c r="B517" s="39"/>
      <c r="D517" s="59"/>
      <c r="E517" s="68"/>
      <c r="F517" s="95"/>
      <c r="G517" s="21"/>
    </row>
    <row r="518" spans="2:7" s="32" customFormat="1" x14ac:dyDescent="0.25">
      <c r="B518" s="39"/>
      <c r="D518" s="59"/>
      <c r="E518" s="68"/>
      <c r="F518" s="95"/>
      <c r="G518" s="21"/>
    </row>
    <row r="519" spans="2:7" s="32" customFormat="1" x14ac:dyDescent="0.25">
      <c r="B519" s="39"/>
      <c r="D519" s="59"/>
      <c r="E519" s="68"/>
      <c r="F519" s="95"/>
      <c r="G519" s="21"/>
    </row>
    <row r="520" spans="2:7" s="32" customFormat="1" x14ac:dyDescent="0.25">
      <c r="B520" s="39"/>
      <c r="D520" s="59"/>
      <c r="E520" s="68"/>
      <c r="F520" s="95"/>
      <c r="G520" s="21"/>
    </row>
    <row r="521" spans="2:7" s="32" customFormat="1" x14ac:dyDescent="0.25">
      <c r="B521" s="39"/>
      <c r="D521" s="59"/>
      <c r="E521" s="68"/>
      <c r="F521" s="95"/>
      <c r="G521" s="21"/>
    </row>
    <row r="522" spans="2:7" s="32" customFormat="1" x14ac:dyDescent="0.25">
      <c r="B522" s="39"/>
      <c r="D522" s="59"/>
      <c r="E522" s="68"/>
      <c r="F522" s="95"/>
      <c r="G522" s="21"/>
    </row>
    <row r="523" spans="2:7" s="32" customFormat="1" x14ac:dyDescent="0.25">
      <c r="B523" s="39"/>
      <c r="D523" s="59"/>
      <c r="E523" s="68"/>
      <c r="F523" s="95"/>
      <c r="G523" s="21"/>
    </row>
    <row r="524" spans="2:7" s="32" customFormat="1" x14ac:dyDescent="0.25">
      <c r="B524" s="39"/>
      <c r="D524" s="59"/>
      <c r="E524" s="68"/>
      <c r="F524" s="95"/>
      <c r="G524" s="21"/>
    </row>
    <row r="525" spans="2:7" s="32" customFormat="1" x14ac:dyDescent="0.25">
      <c r="B525" s="39"/>
      <c r="D525" s="59"/>
      <c r="E525" s="68"/>
      <c r="F525" s="95"/>
      <c r="G525" s="21"/>
    </row>
    <row r="526" spans="2:7" s="32" customFormat="1" x14ac:dyDescent="0.25">
      <c r="B526" s="39"/>
      <c r="D526" s="59"/>
      <c r="E526" s="68"/>
      <c r="F526" s="95"/>
      <c r="G526" s="21"/>
    </row>
    <row r="527" spans="2:7" s="32" customFormat="1" x14ac:dyDescent="0.25">
      <c r="B527" s="39"/>
      <c r="D527" s="59"/>
      <c r="E527" s="68"/>
      <c r="F527" s="95"/>
      <c r="G527" s="21"/>
    </row>
    <row r="528" spans="2:7" s="32" customFormat="1" x14ac:dyDescent="0.25">
      <c r="B528" s="39"/>
      <c r="D528" s="59"/>
      <c r="E528" s="68"/>
      <c r="F528" s="95"/>
      <c r="G528" s="21"/>
    </row>
    <row r="529" spans="2:7" s="32" customFormat="1" x14ac:dyDescent="0.25">
      <c r="B529" s="39"/>
      <c r="D529" s="59"/>
      <c r="E529" s="68"/>
      <c r="F529" s="95"/>
      <c r="G529" s="21"/>
    </row>
    <row r="530" spans="2:7" s="32" customFormat="1" x14ac:dyDescent="0.25">
      <c r="B530" s="39"/>
      <c r="D530" s="59"/>
      <c r="E530" s="68"/>
      <c r="F530" s="95"/>
      <c r="G530" s="21"/>
    </row>
    <row r="531" spans="2:7" s="32" customFormat="1" x14ac:dyDescent="0.25">
      <c r="B531" s="39"/>
      <c r="D531" s="59"/>
      <c r="E531" s="68"/>
      <c r="F531" s="95"/>
      <c r="G531" s="21"/>
    </row>
    <row r="532" spans="2:7" s="32" customFormat="1" x14ac:dyDescent="0.25">
      <c r="B532" s="39"/>
      <c r="D532" s="59"/>
      <c r="E532" s="68"/>
      <c r="F532" s="95"/>
      <c r="G532" s="21"/>
    </row>
    <row r="533" spans="2:7" s="32" customFormat="1" x14ac:dyDescent="0.25">
      <c r="B533" s="39"/>
      <c r="D533" s="59"/>
      <c r="E533" s="68"/>
      <c r="F533" s="95"/>
      <c r="G533" s="21"/>
    </row>
    <row r="534" spans="2:7" s="32" customFormat="1" x14ac:dyDescent="0.25">
      <c r="B534" s="39"/>
      <c r="D534" s="59"/>
      <c r="E534" s="68"/>
      <c r="F534" s="95"/>
      <c r="G534" s="21"/>
    </row>
    <row r="535" spans="2:7" s="32" customFormat="1" x14ac:dyDescent="0.25">
      <c r="B535" s="39"/>
      <c r="D535" s="59"/>
      <c r="E535" s="68"/>
      <c r="F535" s="95"/>
      <c r="G535" s="21"/>
    </row>
    <row r="536" spans="2:7" s="32" customFormat="1" x14ac:dyDescent="0.25">
      <c r="B536" s="39"/>
      <c r="D536" s="59"/>
      <c r="E536" s="68"/>
      <c r="F536" s="95"/>
      <c r="G536" s="21"/>
    </row>
    <row r="537" spans="2:7" s="32" customFormat="1" x14ac:dyDescent="0.25">
      <c r="B537" s="39"/>
      <c r="D537" s="59"/>
      <c r="E537" s="68"/>
      <c r="F537" s="95"/>
      <c r="G537" s="21"/>
    </row>
    <row r="538" spans="2:7" s="32" customFormat="1" x14ac:dyDescent="0.25">
      <c r="B538" s="39"/>
      <c r="D538" s="59"/>
      <c r="E538" s="68"/>
      <c r="F538" s="95"/>
      <c r="G538" s="21"/>
    </row>
    <row r="539" spans="2:7" s="32" customFormat="1" x14ac:dyDescent="0.25">
      <c r="B539" s="39"/>
      <c r="D539" s="59"/>
      <c r="E539" s="68"/>
      <c r="F539" s="95"/>
      <c r="G539" s="21"/>
    </row>
    <row r="540" spans="2:7" s="32" customFormat="1" x14ac:dyDescent="0.25">
      <c r="B540" s="39"/>
      <c r="D540" s="59"/>
      <c r="E540" s="68"/>
      <c r="F540" s="95"/>
      <c r="G540" s="21"/>
    </row>
    <row r="541" spans="2:7" s="32" customFormat="1" x14ac:dyDescent="0.25">
      <c r="B541" s="39"/>
      <c r="D541" s="59"/>
      <c r="E541" s="68"/>
      <c r="F541" s="95"/>
      <c r="G541" s="21"/>
    </row>
    <row r="542" spans="2:7" s="32" customFormat="1" x14ac:dyDescent="0.25">
      <c r="B542" s="39"/>
      <c r="D542" s="59"/>
      <c r="E542" s="68"/>
      <c r="F542" s="95"/>
      <c r="G542" s="21"/>
    </row>
    <row r="543" spans="2:7" s="32" customFormat="1" x14ac:dyDescent="0.25">
      <c r="B543" s="39"/>
      <c r="D543" s="59"/>
      <c r="E543" s="68"/>
      <c r="F543" s="95"/>
      <c r="G543" s="21"/>
    </row>
    <row r="544" spans="2:7" s="32" customFormat="1" x14ac:dyDescent="0.25">
      <c r="B544" s="39"/>
      <c r="D544" s="59"/>
      <c r="E544" s="68"/>
      <c r="F544" s="95"/>
      <c r="G544" s="21"/>
    </row>
    <row r="545" spans="2:7" s="32" customFormat="1" x14ac:dyDescent="0.25">
      <c r="B545" s="39"/>
      <c r="D545" s="59"/>
      <c r="E545" s="68"/>
      <c r="F545" s="95"/>
      <c r="G545" s="21"/>
    </row>
    <row r="546" spans="2:7" s="32" customFormat="1" x14ac:dyDescent="0.25">
      <c r="B546" s="39"/>
      <c r="D546" s="59"/>
      <c r="E546" s="68"/>
      <c r="F546" s="95"/>
      <c r="G546" s="21"/>
    </row>
    <row r="547" spans="2:7" s="32" customFormat="1" x14ac:dyDescent="0.25">
      <c r="B547" s="39"/>
      <c r="D547" s="59"/>
      <c r="E547" s="68"/>
      <c r="F547" s="95"/>
      <c r="G547" s="21"/>
    </row>
    <row r="548" spans="2:7" s="32" customFormat="1" x14ac:dyDescent="0.25">
      <c r="B548" s="39"/>
      <c r="D548" s="59"/>
      <c r="E548" s="68"/>
      <c r="F548" s="95"/>
      <c r="G548" s="21"/>
    </row>
    <row r="549" spans="2:7" s="32" customFormat="1" x14ac:dyDescent="0.25">
      <c r="B549" s="39"/>
      <c r="D549" s="59"/>
      <c r="E549" s="68"/>
      <c r="F549" s="95"/>
      <c r="G549" s="21"/>
    </row>
    <row r="550" spans="2:7" s="32" customFormat="1" x14ac:dyDescent="0.25">
      <c r="B550" s="39"/>
      <c r="D550" s="59"/>
      <c r="E550" s="68"/>
      <c r="F550" s="95"/>
      <c r="G550" s="21"/>
    </row>
    <row r="551" spans="2:7" s="32" customFormat="1" x14ac:dyDescent="0.25">
      <c r="B551" s="39"/>
      <c r="D551" s="59"/>
      <c r="E551" s="68"/>
      <c r="F551" s="95"/>
      <c r="G551" s="21"/>
    </row>
    <row r="552" spans="2:7" s="32" customFormat="1" x14ac:dyDescent="0.25">
      <c r="B552" s="39"/>
      <c r="D552" s="59"/>
      <c r="E552" s="68"/>
      <c r="F552" s="95"/>
      <c r="G552" s="21"/>
    </row>
    <row r="553" spans="2:7" s="32" customFormat="1" x14ac:dyDescent="0.25">
      <c r="B553" s="39"/>
      <c r="D553" s="59"/>
      <c r="E553" s="68"/>
      <c r="F553" s="95"/>
      <c r="G553" s="21"/>
    </row>
    <row r="554" spans="2:7" s="32" customFormat="1" x14ac:dyDescent="0.25">
      <c r="B554" s="39"/>
      <c r="D554" s="59"/>
      <c r="E554" s="68"/>
      <c r="F554" s="95"/>
      <c r="G554" s="21"/>
    </row>
    <row r="555" spans="2:7" s="32" customFormat="1" x14ac:dyDescent="0.25">
      <c r="B555" s="39"/>
      <c r="D555" s="59"/>
      <c r="E555" s="68"/>
      <c r="F555" s="95"/>
      <c r="G555" s="21"/>
    </row>
    <row r="556" spans="2:7" s="32" customFormat="1" x14ac:dyDescent="0.25">
      <c r="B556" s="39"/>
      <c r="D556" s="59"/>
      <c r="E556" s="68"/>
      <c r="F556" s="95"/>
      <c r="G556" s="21"/>
    </row>
    <row r="557" spans="2:7" s="32" customFormat="1" x14ac:dyDescent="0.25">
      <c r="B557" s="39"/>
      <c r="D557" s="59"/>
      <c r="E557" s="68"/>
      <c r="F557" s="95"/>
      <c r="G557" s="21"/>
    </row>
    <row r="558" spans="2:7" s="32" customFormat="1" x14ac:dyDescent="0.25">
      <c r="B558" s="39"/>
      <c r="D558" s="59"/>
      <c r="E558" s="68"/>
      <c r="F558" s="95"/>
      <c r="G558" s="21"/>
    </row>
    <row r="559" spans="2:7" s="32" customFormat="1" x14ac:dyDescent="0.25">
      <c r="B559" s="39"/>
      <c r="D559" s="59"/>
      <c r="E559" s="68"/>
      <c r="F559" s="95"/>
      <c r="G559" s="21"/>
    </row>
    <row r="560" spans="2:7" s="32" customFormat="1" x14ac:dyDescent="0.25">
      <c r="B560" s="39"/>
      <c r="D560" s="59"/>
      <c r="E560" s="68"/>
      <c r="F560" s="95"/>
      <c r="G560" s="21"/>
    </row>
    <row r="561" spans="2:7" s="32" customFormat="1" x14ac:dyDescent="0.25">
      <c r="B561" s="39"/>
      <c r="D561" s="59"/>
      <c r="E561" s="68"/>
      <c r="F561" s="95"/>
      <c r="G561" s="21"/>
    </row>
    <row r="562" spans="2:7" s="32" customFormat="1" x14ac:dyDescent="0.25">
      <c r="B562" s="39"/>
      <c r="D562" s="59"/>
      <c r="E562" s="68"/>
      <c r="F562" s="95"/>
      <c r="G562" s="21"/>
    </row>
    <row r="563" spans="2:7" s="32" customFormat="1" x14ac:dyDescent="0.25">
      <c r="B563" s="39"/>
      <c r="D563" s="59"/>
      <c r="E563" s="68"/>
      <c r="F563" s="95"/>
      <c r="G563" s="21"/>
    </row>
    <row r="564" spans="2:7" s="32" customFormat="1" x14ac:dyDescent="0.25">
      <c r="B564" s="39"/>
      <c r="D564" s="59"/>
      <c r="E564" s="68"/>
      <c r="F564" s="95"/>
      <c r="G564" s="21"/>
    </row>
    <row r="565" spans="2:7" s="32" customFormat="1" x14ac:dyDescent="0.25">
      <c r="B565" s="39"/>
      <c r="D565" s="59"/>
      <c r="E565" s="68"/>
      <c r="F565" s="95"/>
      <c r="G565" s="21"/>
    </row>
    <row r="566" spans="2:7" s="32" customFormat="1" x14ac:dyDescent="0.25">
      <c r="B566" s="39"/>
      <c r="D566" s="59"/>
      <c r="E566" s="68"/>
      <c r="F566" s="95"/>
      <c r="G566" s="21"/>
    </row>
    <row r="567" spans="2:7" s="32" customFormat="1" x14ac:dyDescent="0.25">
      <c r="B567" s="39"/>
      <c r="D567" s="59"/>
      <c r="E567" s="68"/>
      <c r="F567" s="95"/>
      <c r="G567" s="21"/>
    </row>
    <row r="568" spans="2:7" s="32" customFormat="1" x14ac:dyDescent="0.25">
      <c r="B568" s="39"/>
      <c r="D568" s="59"/>
      <c r="E568" s="68"/>
      <c r="F568" s="95"/>
      <c r="G568" s="21"/>
    </row>
    <row r="569" spans="2:7" s="32" customFormat="1" x14ac:dyDescent="0.25">
      <c r="B569" s="39"/>
      <c r="D569" s="59"/>
      <c r="E569" s="68"/>
      <c r="F569" s="95"/>
      <c r="G569" s="21"/>
    </row>
    <row r="570" spans="2:7" s="32" customFormat="1" x14ac:dyDescent="0.25">
      <c r="B570" s="39"/>
      <c r="D570" s="59"/>
      <c r="E570" s="68"/>
      <c r="F570" s="95"/>
      <c r="G570" s="21"/>
    </row>
    <row r="571" spans="2:7" s="32" customFormat="1" x14ac:dyDescent="0.25">
      <c r="B571" s="39"/>
      <c r="D571" s="59"/>
      <c r="E571" s="68"/>
      <c r="F571" s="95"/>
      <c r="G571" s="21"/>
    </row>
    <row r="572" spans="2:7" s="32" customFormat="1" x14ac:dyDescent="0.25">
      <c r="B572" s="39"/>
      <c r="D572" s="59"/>
      <c r="E572" s="68"/>
      <c r="F572" s="95"/>
      <c r="G572" s="21"/>
    </row>
    <row r="573" spans="2:7" s="32" customFormat="1" x14ac:dyDescent="0.25">
      <c r="B573" s="39"/>
      <c r="D573" s="59"/>
      <c r="E573" s="68"/>
      <c r="F573" s="95"/>
      <c r="G573" s="21"/>
    </row>
    <row r="574" spans="2:7" s="32" customFormat="1" x14ac:dyDescent="0.25">
      <c r="B574" s="39"/>
      <c r="D574" s="59"/>
      <c r="E574" s="68"/>
      <c r="F574" s="95"/>
      <c r="G574" s="21"/>
    </row>
    <row r="575" spans="2:7" s="32" customFormat="1" x14ac:dyDescent="0.25">
      <c r="B575" s="39"/>
      <c r="D575" s="59"/>
      <c r="E575" s="68"/>
      <c r="F575" s="95"/>
      <c r="G575" s="21"/>
    </row>
    <row r="576" spans="2:7" s="32" customFormat="1" x14ac:dyDescent="0.25">
      <c r="B576" s="39"/>
      <c r="D576" s="59"/>
      <c r="E576" s="68"/>
      <c r="F576" s="95"/>
      <c r="G576" s="21"/>
    </row>
    <row r="577" spans="2:7" s="32" customFormat="1" x14ac:dyDescent="0.25">
      <c r="B577" s="39"/>
      <c r="D577" s="59"/>
      <c r="E577" s="68"/>
      <c r="F577" s="95"/>
      <c r="G577" s="21"/>
    </row>
    <row r="578" spans="2:7" s="32" customFormat="1" x14ac:dyDescent="0.25">
      <c r="B578" s="39"/>
      <c r="D578" s="59"/>
      <c r="E578" s="68"/>
      <c r="F578" s="95"/>
      <c r="G578" s="21"/>
    </row>
    <row r="579" spans="2:7" s="32" customFormat="1" x14ac:dyDescent="0.25">
      <c r="B579" s="39"/>
      <c r="D579" s="59"/>
      <c r="E579" s="68"/>
      <c r="F579" s="95"/>
      <c r="G579" s="21"/>
    </row>
    <row r="580" spans="2:7" s="32" customFormat="1" x14ac:dyDescent="0.25">
      <c r="B580" s="39"/>
      <c r="D580" s="59"/>
      <c r="E580" s="68"/>
      <c r="F580" s="95"/>
      <c r="G580" s="21"/>
    </row>
    <row r="581" spans="2:7" s="32" customFormat="1" x14ac:dyDescent="0.25">
      <c r="B581" s="39"/>
      <c r="D581" s="59"/>
      <c r="E581" s="68"/>
      <c r="F581" s="95"/>
      <c r="G581" s="21"/>
    </row>
    <row r="582" spans="2:7" s="32" customFormat="1" x14ac:dyDescent="0.25">
      <c r="B582" s="39"/>
      <c r="D582" s="59"/>
      <c r="E582" s="68"/>
      <c r="F582" s="95"/>
      <c r="G582" s="21"/>
    </row>
    <row r="583" spans="2:7" s="32" customFormat="1" x14ac:dyDescent="0.25">
      <c r="B583" s="39"/>
      <c r="D583" s="59"/>
      <c r="E583" s="68"/>
      <c r="F583" s="95"/>
      <c r="G583" s="21"/>
    </row>
    <row r="584" spans="2:7" s="32" customFormat="1" x14ac:dyDescent="0.25">
      <c r="B584" s="39"/>
      <c r="D584" s="59"/>
      <c r="E584" s="68"/>
      <c r="F584" s="95"/>
      <c r="G584" s="21"/>
    </row>
    <row r="585" spans="2:7" s="32" customFormat="1" x14ac:dyDescent="0.25">
      <c r="B585" s="39"/>
      <c r="D585" s="59"/>
      <c r="E585" s="68"/>
      <c r="F585" s="95"/>
      <c r="G585" s="21"/>
    </row>
    <row r="586" spans="2:7" s="32" customFormat="1" x14ac:dyDescent="0.25">
      <c r="B586" s="39"/>
      <c r="D586" s="59"/>
      <c r="E586" s="68"/>
      <c r="F586" s="95"/>
      <c r="G586" s="21"/>
    </row>
    <row r="587" spans="2:7" s="32" customFormat="1" x14ac:dyDescent="0.25">
      <c r="B587" s="39"/>
      <c r="D587" s="59"/>
      <c r="E587" s="68"/>
      <c r="F587" s="95"/>
      <c r="G587" s="21"/>
    </row>
    <row r="588" spans="2:7" s="32" customFormat="1" x14ac:dyDescent="0.25">
      <c r="B588" s="39"/>
      <c r="D588" s="59"/>
      <c r="E588" s="68"/>
      <c r="F588" s="95"/>
      <c r="G588" s="21"/>
    </row>
    <row r="589" spans="2:7" s="32" customFormat="1" x14ac:dyDescent="0.25">
      <c r="B589" s="39"/>
      <c r="D589" s="59"/>
      <c r="E589" s="68"/>
      <c r="F589" s="95"/>
      <c r="G589" s="21"/>
    </row>
    <row r="590" spans="2:7" s="32" customFormat="1" x14ac:dyDescent="0.25">
      <c r="B590" s="39"/>
      <c r="D590" s="59"/>
      <c r="E590" s="68"/>
      <c r="F590" s="95"/>
      <c r="G590" s="21"/>
    </row>
    <row r="591" spans="2:7" s="32" customFormat="1" x14ac:dyDescent="0.25">
      <c r="B591" s="39"/>
      <c r="D591" s="59"/>
      <c r="E591" s="68"/>
      <c r="F591" s="95"/>
      <c r="G591" s="21"/>
    </row>
    <row r="592" spans="2:7" s="32" customFormat="1" x14ac:dyDescent="0.25">
      <c r="B592" s="39"/>
      <c r="D592" s="59"/>
      <c r="E592" s="68"/>
      <c r="F592" s="95"/>
      <c r="G592" s="21"/>
    </row>
    <row r="593" spans="2:7" s="32" customFormat="1" x14ac:dyDescent="0.25">
      <c r="B593" s="39"/>
      <c r="D593" s="59"/>
      <c r="E593" s="68"/>
      <c r="F593" s="95"/>
      <c r="G593" s="21"/>
    </row>
    <row r="594" spans="2:7" s="32" customFormat="1" x14ac:dyDescent="0.25">
      <c r="B594" s="39"/>
      <c r="D594" s="59"/>
      <c r="E594" s="68"/>
      <c r="F594" s="95"/>
      <c r="G594" s="21"/>
    </row>
    <row r="595" spans="2:7" s="32" customFormat="1" x14ac:dyDescent="0.25">
      <c r="B595" s="39"/>
      <c r="D595" s="59"/>
      <c r="E595" s="68"/>
      <c r="F595" s="95"/>
      <c r="G595" s="21"/>
    </row>
    <row r="596" spans="2:7" s="32" customFormat="1" x14ac:dyDescent="0.25">
      <c r="B596" s="39"/>
      <c r="D596" s="59"/>
      <c r="E596" s="68"/>
      <c r="F596" s="95"/>
      <c r="G596" s="21"/>
    </row>
    <row r="597" spans="2:7" s="32" customFormat="1" x14ac:dyDescent="0.25">
      <c r="B597" s="39"/>
      <c r="D597" s="59"/>
      <c r="E597" s="68"/>
      <c r="F597" s="95"/>
      <c r="G597" s="21"/>
    </row>
    <row r="598" spans="2:7" s="32" customFormat="1" x14ac:dyDescent="0.25">
      <c r="B598" s="39"/>
      <c r="D598" s="59"/>
      <c r="E598" s="68"/>
      <c r="F598" s="95"/>
      <c r="G598" s="21"/>
    </row>
    <row r="599" spans="2:7" s="32" customFormat="1" x14ac:dyDescent="0.25">
      <c r="B599" s="39"/>
      <c r="D599" s="59"/>
      <c r="E599" s="68"/>
      <c r="F599" s="95"/>
      <c r="G599" s="21"/>
    </row>
    <row r="600" spans="2:7" s="32" customFormat="1" x14ac:dyDescent="0.25">
      <c r="B600" s="39"/>
      <c r="D600" s="59"/>
      <c r="E600" s="68"/>
      <c r="F600" s="95"/>
      <c r="G600" s="21"/>
    </row>
    <row r="601" spans="2:7" s="32" customFormat="1" x14ac:dyDescent="0.25">
      <c r="B601" s="39"/>
      <c r="D601" s="59"/>
      <c r="E601" s="68"/>
      <c r="F601" s="95"/>
      <c r="G601" s="21"/>
    </row>
    <row r="602" spans="2:7" s="32" customFormat="1" x14ac:dyDescent="0.25">
      <c r="B602" s="39"/>
      <c r="D602" s="59"/>
      <c r="E602" s="68"/>
      <c r="F602" s="95"/>
      <c r="G602" s="21"/>
    </row>
    <row r="603" spans="2:7" s="32" customFormat="1" x14ac:dyDescent="0.25">
      <c r="B603" s="39"/>
      <c r="D603" s="59"/>
      <c r="E603" s="68"/>
      <c r="F603" s="95"/>
      <c r="G603" s="21"/>
    </row>
    <row r="604" spans="2:7" s="32" customFormat="1" x14ac:dyDescent="0.25">
      <c r="B604" s="39"/>
      <c r="D604" s="59"/>
      <c r="E604" s="68"/>
      <c r="F604" s="95"/>
      <c r="G604" s="21"/>
    </row>
    <row r="605" spans="2:7" s="32" customFormat="1" x14ac:dyDescent="0.25">
      <c r="B605" s="39"/>
      <c r="D605" s="59"/>
      <c r="E605" s="68"/>
      <c r="F605" s="95"/>
      <c r="G605" s="21"/>
    </row>
    <row r="606" spans="2:7" s="32" customFormat="1" x14ac:dyDescent="0.25">
      <c r="B606" s="39"/>
      <c r="D606" s="59"/>
      <c r="E606" s="68"/>
      <c r="F606" s="95"/>
      <c r="G606" s="21"/>
    </row>
    <row r="607" spans="2:7" s="32" customFormat="1" x14ac:dyDescent="0.25">
      <c r="B607" s="39"/>
      <c r="D607" s="59"/>
      <c r="E607" s="68"/>
      <c r="F607" s="95"/>
      <c r="G607" s="21"/>
    </row>
    <row r="608" spans="2:7" s="32" customFormat="1" x14ac:dyDescent="0.25">
      <c r="B608" s="39"/>
      <c r="D608" s="59"/>
      <c r="E608" s="68"/>
      <c r="F608" s="95"/>
      <c r="G608" s="21"/>
    </row>
    <row r="609" spans="2:7" s="32" customFormat="1" x14ac:dyDescent="0.25">
      <c r="B609" s="39"/>
      <c r="D609" s="59"/>
      <c r="E609" s="68"/>
      <c r="F609" s="95"/>
      <c r="G609" s="21"/>
    </row>
    <row r="610" spans="2:7" s="32" customFormat="1" x14ac:dyDescent="0.25">
      <c r="B610" s="39"/>
      <c r="D610" s="59"/>
      <c r="E610" s="68"/>
      <c r="F610" s="95"/>
      <c r="G610" s="21"/>
    </row>
    <row r="611" spans="2:7" s="32" customFormat="1" x14ac:dyDescent="0.25">
      <c r="B611" s="39"/>
      <c r="D611" s="59"/>
      <c r="E611" s="68"/>
      <c r="F611" s="95"/>
      <c r="G611" s="21"/>
    </row>
    <row r="612" spans="2:7" s="32" customFormat="1" x14ac:dyDescent="0.25">
      <c r="B612" s="39"/>
      <c r="D612" s="59"/>
      <c r="E612" s="68"/>
      <c r="F612" s="95"/>
      <c r="G612" s="21"/>
    </row>
    <row r="613" spans="2:7" s="32" customFormat="1" x14ac:dyDescent="0.25">
      <c r="B613" s="39"/>
      <c r="D613" s="59"/>
      <c r="E613" s="68"/>
      <c r="F613" s="95"/>
      <c r="G613" s="21"/>
    </row>
    <row r="614" spans="2:7" s="32" customFormat="1" x14ac:dyDescent="0.25">
      <c r="B614" s="39"/>
      <c r="D614" s="59"/>
      <c r="E614" s="68"/>
      <c r="F614" s="95"/>
      <c r="G614" s="21"/>
    </row>
    <row r="615" spans="2:7" s="32" customFormat="1" x14ac:dyDescent="0.25">
      <c r="B615" s="39"/>
      <c r="D615" s="59"/>
      <c r="E615" s="68"/>
      <c r="F615" s="95"/>
      <c r="G615" s="21"/>
    </row>
    <row r="616" spans="2:7" s="32" customFormat="1" x14ac:dyDescent="0.25">
      <c r="B616" s="39"/>
      <c r="D616" s="59"/>
      <c r="E616" s="68"/>
      <c r="F616" s="95"/>
      <c r="G616" s="21"/>
    </row>
    <row r="617" spans="2:7" s="32" customFormat="1" x14ac:dyDescent="0.25">
      <c r="B617" s="39"/>
      <c r="D617" s="59"/>
      <c r="E617" s="68"/>
      <c r="F617" s="95"/>
      <c r="G617" s="21"/>
    </row>
    <row r="618" spans="2:7" s="32" customFormat="1" x14ac:dyDescent="0.25">
      <c r="B618" s="39"/>
      <c r="D618" s="59"/>
      <c r="E618" s="68"/>
      <c r="F618" s="95"/>
      <c r="G618" s="21"/>
    </row>
    <row r="619" spans="2:7" s="32" customFormat="1" x14ac:dyDescent="0.25">
      <c r="B619" s="39"/>
      <c r="D619" s="59"/>
      <c r="E619" s="68"/>
      <c r="F619" s="95"/>
      <c r="G619" s="21"/>
    </row>
    <row r="620" spans="2:7" s="32" customFormat="1" x14ac:dyDescent="0.25">
      <c r="B620" s="39"/>
      <c r="D620" s="59"/>
      <c r="E620" s="68"/>
      <c r="F620" s="95"/>
      <c r="G620" s="21"/>
    </row>
    <row r="621" spans="2:7" s="32" customFormat="1" x14ac:dyDescent="0.25">
      <c r="B621" s="39"/>
      <c r="D621" s="59"/>
      <c r="E621" s="68"/>
      <c r="F621" s="95"/>
      <c r="G621" s="21"/>
    </row>
    <row r="622" spans="2:7" s="32" customFormat="1" x14ac:dyDescent="0.25">
      <c r="B622" s="39"/>
      <c r="D622" s="59"/>
      <c r="E622" s="68"/>
      <c r="F622" s="95"/>
      <c r="G622" s="21"/>
    </row>
    <row r="623" spans="2:7" s="32" customFormat="1" x14ac:dyDescent="0.25">
      <c r="B623" s="39"/>
      <c r="D623" s="59"/>
      <c r="E623" s="68"/>
      <c r="F623" s="95"/>
      <c r="G623" s="21"/>
    </row>
    <row r="624" spans="2:7" s="32" customFormat="1" x14ac:dyDescent="0.25">
      <c r="B624" s="39"/>
      <c r="D624" s="59"/>
      <c r="E624" s="68"/>
      <c r="F624" s="95"/>
      <c r="G624" s="21"/>
    </row>
    <row r="625" spans="2:7" s="32" customFormat="1" x14ac:dyDescent="0.25">
      <c r="B625" s="39"/>
      <c r="D625" s="59"/>
      <c r="E625" s="68"/>
      <c r="F625" s="95"/>
      <c r="G625" s="21"/>
    </row>
    <row r="626" spans="2:7" s="32" customFormat="1" x14ac:dyDescent="0.25">
      <c r="B626" s="39"/>
      <c r="D626" s="59"/>
      <c r="E626" s="68"/>
      <c r="F626" s="95"/>
      <c r="G626" s="21"/>
    </row>
    <row r="627" spans="2:7" s="32" customFormat="1" x14ac:dyDescent="0.25">
      <c r="B627" s="39"/>
      <c r="D627" s="59"/>
      <c r="E627" s="68"/>
      <c r="F627" s="95"/>
      <c r="G627" s="21"/>
    </row>
    <row r="628" spans="2:7" s="32" customFormat="1" x14ac:dyDescent="0.25">
      <c r="B628" s="39"/>
      <c r="D628" s="59"/>
      <c r="E628" s="68"/>
      <c r="F628" s="95"/>
      <c r="G628" s="21"/>
    </row>
    <row r="629" spans="2:7" s="32" customFormat="1" x14ac:dyDescent="0.25">
      <c r="B629" s="39"/>
      <c r="D629" s="59"/>
      <c r="E629" s="68"/>
      <c r="F629" s="95"/>
      <c r="G629" s="21"/>
    </row>
    <row r="630" spans="2:7" s="32" customFormat="1" x14ac:dyDescent="0.25">
      <c r="B630" s="39"/>
      <c r="D630" s="59"/>
      <c r="E630" s="68"/>
      <c r="F630" s="95"/>
      <c r="G630" s="21"/>
    </row>
    <row r="631" spans="2:7" s="32" customFormat="1" x14ac:dyDescent="0.25">
      <c r="B631" s="39"/>
      <c r="D631" s="59"/>
      <c r="E631" s="68"/>
      <c r="F631" s="95"/>
      <c r="G631" s="21"/>
    </row>
    <row r="632" spans="2:7" s="32" customFormat="1" x14ac:dyDescent="0.25">
      <c r="B632" s="39"/>
      <c r="D632" s="59"/>
      <c r="E632" s="68"/>
      <c r="F632" s="95"/>
      <c r="G632" s="21"/>
    </row>
    <row r="633" spans="2:7" s="32" customFormat="1" x14ac:dyDescent="0.25">
      <c r="B633" s="39"/>
      <c r="D633" s="59"/>
      <c r="E633" s="68"/>
      <c r="F633" s="95"/>
      <c r="G633" s="21"/>
    </row>
    <row r="634" spans="2:7" s="32" customFormat="1" x14ac:dyDescent="0.25">
      <c r="B634" s="39"/>
      <c r="D634" s="59"/>
      <c r="E634" s="68"/>
      <c r="F634" s="95"/>
      <c r="G634" s="21"/>
    </row>
    <row r="635" spans="2:7" s="32" customFormat="1" x14ac:dyDescent="0.25">
      <c r="B635" s="39"/>
      <c r="D635" s="59"/>
      <c r="E635" s="68"/>
      <c r="F635" s="95"/>
      <c r="G635" s="21"/>
    </row>
    <row r="636" spans="2:7" s="32" customFormat="1" x14ac:dyDescent="0.25">
      <c r="B636" s="39"/>
      <c r="D636" s="59"/>
      <c r="E636" s="68"/>
      <c r="F636" s="95"/>
      <c r="G636" s="21"/>
    </row>
    <row r="637" spans="2:7" s="32" customFormat="1" x14ac:dyDescent="0.25">
      <c r="B637" s="39"/>
      <c r="D637" s="59"/>
      <c r="E637" s="68"/>
      <c r="F637" s="95"/>
      <c r="G637" s="21"/>
    </row>
    <row r="638" spans="2:7" s="32" customFormat="1" x14ac:dyDescent="0.25">
      <c r="B638" s="39"/>
      <c r="D638" s="59"/>
      <c r="E638" s="68"/>
      <c r="F638" s="95"/>
      <c r="G638" s="21"/>
    </row>
    <row r="639" spans="2:7" s="32" customFormat="1" x14ac:dyDescent="0.25">
      <c r="B639" s="39"/>
      <c r="D639" s="59"/>
      <c r="E639" s="68"/>
      <c r="F639" s="95"/>
      <c r="G639" s="21"/>
    </row>
    <row r="640" spans="2:7" s="32" customFormat="1" x14ac:dyDescent="0.25">
      <c r="B640" s="39"/>
      <c r="D640" s="59"/>
      <c r="E640" s="68"/>
      <c r="F640" s="95"/>
      <c r="G640" s="21"/>
    </row>
    <row r="641" spans="2:7" s="32" customFormat="1" x14ac:dyDescent="0.25">
      <c r="B641" s="39"/>
      <c r="D641" s="59"/>
      <c r="E641" s="68"/>
      <c r="F641" s="95"/>
      <c r="G641" s="21"/>
    </row>
    <row r="642" spans="2:7" s="32" customFormat="1" x14ac:dyDescent="0.25">
      <c r="B642" s="39"/>
      <c r="D642" s="59"/>
      <c r="E642" s="68"/>
      <c r="F642" s="95"/>
      <c r="G642" s="21"/>
    </row>
    <row r="643" spans="2:7" s="32" customFormat="1" x14ac:dyDescent="0.25">
      <c r="B643" s="39"/>
      <c r="D643" s="59"/>
      <c r="E643" s="68"/>
      <c r="F643" s="95"/>
      <c r="G643" s="21"/>
    </row>
    <row r="644" spans="2:7" s="32" customFormat="1" x14ac:dyDescent="0.25">
      <c r="B644" s="39"/>
      <c r="D644" s="59"/>
      <c r="E644" s="68"/>
      <c r="F644" s="95"/>
      <c r="G644" s="21"/>
    </row>
    <row r="645" spans="2:7" s="32" customFormat="1" x14ac:dyDescent="0.25">
      <c r="B645" s="39"/>
      <c r="D645" s="59"/>
      <c r="E645" s="68"/>
      <c r="F645" s="95"/>
      <c r="G645" s="21"/>
    </row>
    <row r="646" spans="2:7" s="32" customFormat="1" x14ac:dyDescent="0.25">
      <c r="B646" s="39"/>
      <c r="D646" s="59"/>
      <c r="E646" s="68"/>
      <c r="F646" s="95"/>
      <c r="G646" s="21"/>
    </row>
    <row r="647" spans="2:7" s="32" customFormat="1" x14ac:dyDescent="0.25">
      <c r="B647" s="39"/>
      <c r="D647" s="59"/>
      <c r="E647" s="68"/>
      <c r="F647" s="95"/>
      <c r="G647" s="21"/>
    </row>
    <row r="648" spans="2:7" s="32" customFormat="1" x14ac:dyDescent="0.25">
      <c r="B648" s="39"/>
      <c r="D648" s="59"/>
      <c r="E648" s="68"/>
      <c r="F648" s="95"/>
      <c r="G648" s="21"/>
    </row>
    <row r="649" spans="2:7" s="32" customFormat="1" x14ac:dyDescent="0.25">
      <c r="B649" s="39"/>
      <c r="D649" s="59"/>
      <c r="E649" s="68"/>
      <c r="F649" s="95"/>
      <c r="G649" s="21"/>
    </row>
    <row r="650" spans="2:7" s="32" customFormat="1" x14ac:dyDescent="0.25">
      <c r="B650" s="39"/>
      <c r="D650" s="59"/>
      <c r="E650" s="68"/>
      <c r="F650" s="95"/>
      <c r="G650" s="21"/>
    </row>
    <row r="651" spans="2:7" s="32" customFormat="1" x14ac:dyDescent="0.25">
      <c r="B651" s="39"/>
      <c r="D651" s="59"/>
      <c r="E651" s="68"/>
      <c r="F651" s="95"/>
      <c r="G651" s="21"/>
    </row>
    <row r="652" spans="2:7" s="32" customFormat="1" x14ac:dyDescent="0.25">
      <c r="B652" s="39"/>
      <c r="D652" s="59"/>
      <c r="E652" s="68"/>
      <c r="F652" s="95"/>
      <c r="G652" s="21"/>
    </row>
    <row r="653" spans="2:7" s="32" customFormat="1" x14ac:dyDescent="0.25">
      <c r="B653" s="39"/>
      <c r="D653" s="59"/>
      <c r="E653" s="68"/>
      <c r="F653" s="95"/>
      <c r="G653" s="21"/>
    </row>
    <row r="654" spans="2:7" s="32" customFormat="1" x14ac:dyDescent="0.25">
      <c r="B654" s="39"/>
      <c r="D654" s="59"/>
      <c r="E654" s="68"/>
      <c r="F654" s="95"/>
      <c r="G654" s="21"/>
    </row>
    <row r="655" spans="2:7" s="32" customFormat="1" x14ac:dyDescent="0.25">
      <c r="B655" s="39"/>
      <c r="D655" s="59"/>
      <c r="E655" s="68"/>
      <c r="F655" s="95"/>
      <c r="G655" s="21"/>
    </row>
    <row r="656" spans="2:7" s="32" customFormat="1" x14ac:dyDescent="0.25">
      <c r="B656" s="39"/>
      <c r="D656" s="59"/>
      <c r="E656" s="68"/>
      <c r="F656" s="95"/>
      <c r="G656" s="21"/>
    </row>
    <row r="657" spans="2:7" s="32" customFormat="1" x14ac:dyDescent="0.25">
      <c r="B657" s="39"/>
      <c r="D657" s="59"/>
      <c r="E657" s="68"/>
      <c r="F657" s="95"/>
      <c r="G657" s="21"/>
    </row>
    <row r="658" spans="2:7" s="32" customFormat="1" x14ac:dyDescent="0.25">
      <c r="B658" s="39"/>
      <c r="D658" s="59"/>
      <c r="E658" s="68"/>
      <c r="F658" s="95"/>
      <c r="G658" s="21"/>
    </row>
    <row r="659" spans="2:7" s="32" customFormat="1" x14ac:dyDescent="0.25">
      <c r="B659" s="39"/>
      <c r="D659" s="59"/>
      <c r="E659" s="68"/>
      <c r="F659" s="95"/>
      <c r="G659" s="21"/>
    </row>
    <row r="660" spans="2:7" s="32" customFormat="1" x14ac:dyDescent="0.25">
      <c r="B660" s="39"/>
      <c r="D660" s="59"/>
      <c r="E660" s="68"/>
      <c r="F660" s="95"/>
      <c r="G660" s="21"/>
    </row>
    <row r="661" spans="2:7" s="32" customFormat="1" x14ac:dyDescent="0.25">
      <c r="B661" s="39"/>
      <c r="D661" s="59"/>
      <c r="E661" s="68"/>
      <c r="F661" s="95"/>
      <c r="G661" s="21"/>
    </row>
    <row r="662" spans="2:7" s="32" customFormat="1" x14ac:dyDescent="0.25">
      <c r="B662" s="39"/>
      <c r="D662" s="59"/>
      <c r="E662" s="68"/>
      <c r="F662" s="95"/>
      <c r="G662" s="21"/>
    </row>
    <row r="663" spans="2:7" s="32" customFormat="1" x14ac:dyDescent="0.25">
      <c r="B663" s="39"/>
      <c r="D663" s="59"/>
      <c r="E663" s="68"/>
      <c r="F663" s="95"/>
      <c r="G663" s="21"/>
    </row>
    <row r="664" spans="2:7" s="32" customFormat="1" x14ac:dyDescent="0.25">
      <c r="B664" s="39"/>
      <c r="D664" s="59"/>
      <c r="E664" s="68"/>
      <c r="F664" s="95"/>
      <c r="G664" s="21"/>
    </row>
    <row r="665" spans="2:7" s="32" customFormat="1" x14ac:dyDescent="0.25">
      <c r="B665" s="39"/>
      <c r="D665" s="59"/>
      <c r="E665" s="68"/>
      <c r="F665" s="95"/>
      <c r="G665" s="21"/>
    </row>
    <row r="666" spans="2:7" s="32" customFormat="1" x14ac:dyDescent="0.25">
      <c r="B666" s="39"/>
      <c r="D666" s="59"/>
      <c r="E666" s="68"/>
      <c r="F666" s="95"/>
      <c r="G666" s="21"/>
    </row>
    <row r="667" spans="2:7" s="32" customFormat="1" x14ac:dyDescent="0.25">
      <c r="B667" s="39"/>
      <c r="D667" s="59"/>
      <c r="E667" s="68"/>
      <c r="F667" s="95"/>
      <c r="G667" s="21"/>
    </row>
    <row r="668" spans="2:7" s="32" customFormat="1" x14ac:dyDescent="0.25">
      <c r="B668" s="39"/>
      <c r="D668" s="59"/>
      <c r="E668" s="68"/>
      <c r="F668" s="95"/>
      <c r="G668" s="21"/>
    </row>
    <row r="669" spans="2:7" s="32" customFormat="1" x14ac:dyDescent="0.25">
      <c r="B669" s="39"/>
      <c r="D669" s="59"/>
      <c r="E669" s="68"/>
      <c r="F669" s="95"/>
      <c r="G669" s="21"/>
    </row>
    <row r="670" spans="2:7" s="32" customFormat="1" x14ac:dyDescent="0.25">
      <c r="B670" s="39"/>
      <c r="D670" s="59"/>
      <c r="E670" s="68"/>
      <c r="F670" s="95"/>
      <c r="G670" s="21"/>
    </row>
    <row r="671" spans="2:7" s="32" customFormat="1" x14ac:dyDescent="0.25">
      <c r="B671" s="39"/>
      <c r="D671" s="59"/>
      <c r="E671" s="68"/>
      <c r="F671" s="95"/>
      <c r="G671" s="21"/>
    </row>
    <row r="672" spans="2:7" s="32" customFormat="1" x14ac:dyDescent="0.25">
      <c r="B672" s="39"/>
      <c r="D672" s="59"/>
      <c r="E672" s="68"/>
      <c r="F672" s="95"/>
      <c r="G672" s="21"/>
    </row>
    <row r="673" spans="2:7" s="32" customFormat="1" x14ac:dyDescent="0.25">
      <c r="B673" s="39"/>
      <c r="D673" s="59"/>
      <c r="E673" s="68"/>
      <c r="F673" s="95"/>
      <c r="G673" s="21"/>
    </row>
    <row r="674" spans="2:7" s="32" customFormat="1" x14ac:dyDescent="0.25">
      <c r="B674" s="39"/>
      <c r="D674" s="59"/>
      <c r="E674" s="68"/>
      <c r="F674" s="95"/>
      <c r="G674" s="21"/>
    </row>
    <row r="675" spans="2:7" s="32" customFormat="1" x14ac:dyDescent="0.25">
      <c r="B675" s="39"/>
      <c r="D675" s="59"/>
      <c r="E675" s="68"/>
      <c r="F675" s="95"/>
      <c r="G675" s="21"/>
    </row>
    <row r="676" spans="2:7" s="32" customFormat="1" x14ac:dyDescent="0.25">
      <c r="B676" s="39"/>
      <c r="D676" s="59"/>
      <c r="E676" s="68"/>
      <c r="F676" s="95"/>
      <c r="G676" s="21"/>
    </row>
    <row r="677" spans="2:7" s="32" customFormat="1" x14ac:dyDescent="0.25">
      <c r="B677" s="39"/>
      <c r="D677" s="59"/>
      <c r="E677" s="68"/>
      <c r="F677" s="95"/>
      <c r="G677" s="21"/>
    </row>
    <row r="678" spans="2:7" s="32" customFormat="1" x14ac:dyDescent="0.25">
      <c r="B678" s="39"/>
      <c r="D678" s="59"/>
      <c r="E678" s="68"/>
      <c r="F678" s="95"/>
      <c r="G678" s="21"/>
    </row>
    <row r="679" spans="2:7" s="32" customFormat="1" x14ac:dyDescent="0.25">
      <c r="B679" s="39"/>
      <c r="D679" s="59"/>
      <c r="E679" s="68"/>
      <c r="F679" s="95"/>
      <c r="G679" s="21"/>
    </row>
    <row r="680" spans="2:7" s="32" customFormat="1" x14ac:dyDescent="0.25">
      <c r="B680" s="39"/>
      <c r="D680" s="59"/>
      <c r="E680" s="68"/>
      <c r="F680" s="95"/>
      <c r="G680" s="21"/>
    </row>
    <row r="681" spans="2:7" s="32" customFormat="1" x14ac:dyDescent="0.25">
      <c r="B681" s="39"/>
      <c r="D681" s="59"/>
      <c r="E681" s="68"/>
      <c r="F681" s="95"/>
      <c r="G681" s="21"/>
    </row>
    <row r="682" spans="2:7" s="32" customFormat="1" x14ac:dyDescent="0.25">
      <c r="B682" s="39"/>
      <c r="D682" s="59"/>
      <c r="E682" s="68"/>
      <c r="F682" s="95"/>
      <c r="G682" s="21"/>
    </row>
    <row r="683" spans="2:7" s="32" customFormat="1" x14ac:dyDescent="0.25">
      <c r="B683" s="39"/>
      <c r="D683" s="59"/>
      <c r="E683" s="68"/>
      <c r="F683" s="95"/>
      <c r="G683" s="21"/>
    </row>
    <row r="684" spans="2:7" s="32" customFormat="1" x14ac:dyDescent="0.25">
      <c r="B684" s="39"/>
      <c r="D684" s="59"/>
      <c r="E684" s="68"/>
      <c r="F684" s="95"/>
      <c r="G684" s="21"/>
    </row>
    <row r="685" spans="2:7" s="32" customFormat="1" x14ac:dyDescent="0.25">
      <c r="B685" s="39"/>
      <c r="D685" s="59"/>
      <c r="E685" s="68"/>
      <c r="F685" s="95"/>
      <c r="G685" s="21"/>
    </row>
    <row r="686" spans="2:7" s="32" customFormat="1" x14ac:dyDescent="0.25">
      <c r="B686" s="39"/>
      <c r="D686" s="59"/>
      <c r="E686" s="68"/>
      <c r="F686" s="95"/>
      <c r="G686" s="21"/>
    </row>
    <row r="687" spans="2:7" s="32" customFormat="1" x14ac:dyDescent="0.25">
      <c r="B687" s="39"/>
      <c r="D687" s="59"/>
      <c r="E687" s="68"/>
      <c r="F687" s="95"/>
      <c r="G687" s="21"/>
    </row>
    <row r="688" spans="2:7" s="32" customFormat="1" x14ac:dyDescent="0.25">
      <c r="B688" s="39"/>
      <c r="D688" s="59"/>
      <c r="E688" s="68"/>
      <c r="F688" s="95"/>
      <c r="G688" s="21"/>
    </row>
    <row r="689" spans="2:7" s="32" customFormat="1" x14ac:dyDescent="0.25">
      <c r="B689" s="39"/>
      <c r="D689" s="59"/>
      <c r="E689" s="68"/>
      <c r="F689" s="95"/>
      <c r="G689" s="21"/>
    </row>
    <row r="690" spans="2:7" s="32" customFormat="1" x14ac:dyDescent="0.25">
      <c r="B690" s="39"/>
      <c r="D690" s="59"/>
      <c r="E690" s="68"/>
      <c r="F690" s="95"/>
      <c r="G690" s="21"/>
    </row>
    <row r="691" spans="2:7" s="32" customFormat="1" x14ac:dyDescent="0.25">
      <c r="B691" s="39"/>
      <c r="D691" s="59"/>
      <c r="E691" s="68"/>
      <c r="F691" s="95"/>
      <c r="G691" s="21"/>
    </row>
    <row r="692" spans="2:7" s="32" customFormat="1" x14ac:dyDescent="0.25">
      <c r="B692" s="39"/>
      <c r="D692" s="59"/>
      <c r="E692" s="68"/>
      <c r="F692" s="95"/>
      <c r="G692" s="21"/>
    </row>
    <row r="693" spans="2:7" s="32" customFormat="1" x14ac:dyDescent="0.25">
      <c r="B693" s="39"/>
      <c r="D693" s="59"/>
      <c r="E693" s="68"/>
      <c r="F693" s="95"/>
      <c r="G693" s="21"/>
    </row>
    <row r="694" spans="2:7" s="32" customFormat="1" x14ac:dyDescent="0.25">
      <c r="B694" s="39"/>
      <c r="D694" s="59"/>
      <c r="E694" s="68"/>
      <c r="F694" s="95"/>
      <c r="G694" s="21"/>
    </row>
    <row r="695" spans="2:7" s="32" customFormat="1" x14ac:dyDescent="0.25">
      <c r="B695" s="39"/>
      <c r="D695" s="59"/>
      <c r="E695" s="68"/>
      <c r="F695" s="95"/>
      <c r="G695" s="21"/>
    </row>
    <row r="696" spans="2:7" s="32" customFormat="1" x14ac:dyDescent="0.25">
      <c r="B696" s="39"/>
      <c r="D696" s="59"/>
      <c r="E696" s="68"/>
      <c r="F696" s="95"/>
      <c r="G696" s="21"/>
    </row>
    <row r="697" spans="2:7" s="32" customFormat="1" x14ac:dyDescent="0.25">
      <c r="B697" s="39"/>
      <c r="D697" s="59"/>
      <c r="E697" s="68"/>
      <c r="F697" s="95"/>
      <c r="G697" s="21"/>
    </row>
    <row r="698" spans="2:7" s="32" customFormat="1" x14ac:dyDescent="0.25">
      <c r="B698" s="39"/>
      <c r="D698" s="59"/>
      <c r="E698" s="68"/>
      <c r="F698" s="95"/>
      <c r="G698" s="21"/>
    </row>
    <row r="699" spans="2:7" s="32" customFormat="1" x14ac:dyDescent="0.25">
      <c r="B699" s="39"/>
      <c r="D699" s="59"/>
      <c r="E699" s="68"/>
      <c r="F699" s="95"/>
      <c r="G699" s="21"/>
    </row>
    <row r="700" spans="2:7" s="32" customFormat="1" x14ac:dyDescent="0.25">
      <c r="B700" s="39"/>
      <c r="D700" s="59"/>
      <c r="E700" s="68"/>
      <c r="F700" s="95"/>
      <c r="G700" s="21"/>
    </row>
    <row r="701" spans="2:7" s="32" customFormat="1" x14ac:dyDescent="0.25">
      <c r="B701" s="39"/>
      <c r="D701" s="59"/>
      <c r="E701" s="68"/>
      <c r="F701" s="95"/>
      <c r="G701" s="21"/>
    </row>
    <row r="702" spans="2:7" s="32" customFormat="1" x14ac:dyDescent="0.25">
      <c r="B702" s="39"/>
      <c r="D702" s="59"/>
      <c r="E702" s="68"/>
      <c r="F702" s="95"/>
      <c r="G702" s="21"/>
    </row>
    <row r="703" spans="2:7" s="32" customFormat="1" x14ac:dyDescent="0.25">
      <c r="B703" s="39"/>
      <c r="D703" s="59"/>
      <c r="E703" s="68"/>
      <c r="F703" s="95"/>
      <c r="G703" s="21"/>
    </row>
    <row r="704" spans="2:7" s="32" customFormat="1" x14ac:dyDescent="0.25">
      <c r="B704" s="39"/>
      <c r="D704" s="59"/>
      <c r="E704" s="68"/>
      <c r="F704" s="95"/>
      <c r="G704" s="21"/>
    </row>
    <row r="705" spans="2:7" s="32" customFormat="1" x14ac:dyDescent="0.25">
      <c r="B705" s="39"/>
      <c r="D705" s="59"/>
      <c r="E705" s="68"/>
      <c r="F705" s="95"/>
      <c r="G705" s="21"/>
    </row>
    <row r="706" spans="2:7" s="32" customFormat="1" x14ac:dyDescent="0.25">
      <c r="B706" s="39"/>
      <c r="D706" s="59"/>
      <c r="E706" s="68"/>
      <c r="F706" s="95"/>
      <c r="G706" s="21"/>
    </row>
    <row r="707" spans="2:7" s="32" customFormat="1" x14ac:dyDescent="0.25">
      <c r="B707" s="39"/>
      <c r="D707" s="59"/>
      <c r="E707" s="68"/>
      <c r="F707" s="95"/>
      <c r="G707" s="21"/>
    </row>
    <row r="708" spans="2:7" s="32" customFormat="1" x14ac:dyDescent="0.25">
      <c r="B708" s="39"/>
      <c r="D708" s="59"/>
      <c r="E708" s="68"/>
      <c r="F708" s="95"/>
      <c r="G708" s="21"/>
    </row>
    <row r="709" spans="2:7" s="32" customFormat="1" x14ac:dyDescent="0.25">
      <c r="B709" s="39"/>
      <c r="D709" s="59"/>
      <c r="E709" s="68"/>
      <c r="F709" s="95"/>
      <c r="G709" s="21"/>
    </row>
    <row r="710" spans="2:7" s="32" customFormat="1" x14ac:dyDescent="0.25">
      <c r="B710" s="39"/>
      <c r="D710" s="59"/>
      <c r="E710" s="68"/>
      <c r="F710" s="95"/>
      <c r="G710" s="21"/>
    </row>
    <row r="711" spans="2:7" s="32" customFormat="1" x14ac:dyDescent="0.25">
      <c r="B711" s="39"/>
      <c r="D711" s="59"/>
      <c r="E711" s="68"/>
      <c r="F711" s="95"/>
      <c r="G711" s="21"/>
    </row>
    <row r="712" spans="2:7" s="32" customFormat="1" x14ac:dyDescent="0.25">
      <c r="B712" s="39"/>
      <c r="D712" s="59"/>
      <c r="E712" s="68"/>
      <c r="F712" s="95"/>
      <c r="G712" s="21"/>
    </row>
    <row r="713" spans="2:7" s="32" customFormat="1" x14ac:dyDescent="0.25">
      <c r="B713" s="39"/>
      <c r="D713" s="59"/>
      <c r="E713" s="68"/>
      <c r="F713" s="95"/>
      <c r="G713" s="21"/>
    </row>
    <row r="714" spans="2:7" s="32" customFormat="1" x14ac:dyDescent="0.25">
      <c r="B714" s="39"/>
      <c r="D714" s="59"/>
      <c r="E714" s="68"/>
      <c r="F714" s="95"/>
      <c r="G714" s="21"/>
    </row>
    <row r="715" spans="2:7" s="32" customFormat="1" x14ac:dyDescent="0.25">
      <c r="B715" s="39"/>
      <c r="D715" s="59"/>
      <c r="E715" s="68"/>
      <c r="F715" s="95"/>
      <c r="G715" s="21"/>
    </row>
    <row r="716" spans="2:7" s="32" customFormat="1" x14ac:dyDescent="0.25">
      <c r="B716" s="39"/>
      <c r="D716" s="59"/>
      <c r="E716" s="68"/>
      <c r="F716" s="95"/>
      <c r="G716" s="21"/>
    </row>
    <row r="717" spans="2:7" s="32" customFormat="1" x14ac:dyDescent="0.25">
      <c r="B717" s="39"/>
      <c r="D717" s="59"/>
      <c r="E717" s="68"/>
      <c r="F717" s="95"/>
      <c r="G717" s="21"/>
    </row>
    <row r="718" spans="2:7" s="32" customFormat="1" x14ac:dyDescent="0.25">
      <c r="B718" s="39"/>
      <c r="D718" s="59"/>
      <c r="E718" s="68"/>
      <c r="F718" s="95"/>
      <c r="G718" s="21"/>
    </row>
    <row r="719" spans="2:7" s="32" customFormat="1" x14ac:dyDescent="0.25">
      <c r="B719" s="39"/>
      <c r="D719" s="59"/>
      <c r="E719" s="68"/>
      <c r="F719" s="95"/>
      <c r="G719" s="21"/>
    </row>
    <row r="720" spans="2:7" s="32" customFormat="1" x14ac:dyDescent="0.25">
      <c r="B720" s="39"/>
      <c r="D720" s="59"/>
      <c r="E720" s="68"/>
      <c r="F720" s="95"/>
      <c r="G720" s="21"/>
    </row>
    <row r="721" spans="2:7" s="32" customFormat="1" x14ac:dyDescent="0.25">
      <c r="B721" s="39"/>
      <c r="D721" s="59"/>
      <c r="E721" s="68"/>
      <c r="F721" s="95"/>
      <c r="G721" s="21"/>
    </row>
    <row r="722" spans="2:7" s="32" customFormat="1" x14ac:dyDescent="0.25">
      <c r="B722" s="39"/>
      <c r="D722" s="59"/>
      <c r="E722" s="68"/>
      <c r="F722" s="95"/>
      <c r="G722" s="21"/>
    </row>
    <row r="723" spans="2:7" s="32" customFormat="1" x14ac:dyDescent="0.25">
      <c r="B723" s="39"/>
      <c r="D723" s="59"/>
      <c r="E723" s="68"/>
      <c r="F723" s="95"/>
      <c r="G723" s="21"/>
    </row>
    <row r="724" spans="2:7" s="32" customFormat="1" x14ac:dyDescent="0.25">
      <c r="B724" s="39"/>
      <c r="D724" s="59"/>
      <c r="E724" s="68"/>
      <c r="F724" s="95"/>
      <c r="G724" s="21"/>
    </row>
    <row r="725" spans="2:7" s="32" customFormat="1" x14ac:dyDescent="0.25">
      <c r="B725" s="39"/>
      <c r="D725" s="59"/>
      <c r="E725" s="68"/>
      <c r="F725" s="95"/>
      <c r="G725" s="21"/>
    </row>
    <row r="726" spans="2:7" s="32" customFormat="1" x14ac:dyDescent="0.25">
      <c r="B726" s="39"/>
      <c r="D726" s="59"/>
      <c r="E726" s="68"/>
      <c r="F726" s="95"/>
      <c r="G726" s="21"/>
    </row>
    <row r="727" spans="2:7" s="32" customFormat="1" x14ac:dyDescent="0.25">
      <c r="B727" s="39"/>
      <c r="D727" s="59"/>
      <c r="E727" s="68"/>
      <c r="F727" s="95"/>
      <c r="G727" s="21"/>
    </row>
    <row r="728" spans="2:7" s="32" customFormat="1" x14ac:dyDescent="0.25">
      <c r="B728" s="39"/>
      <c r="D728" s="59"/>
      <c r="E728" s="68"/>
      <c r="F728" s="95"/>
      <c r="G728" s="21"/>
    </row>
    <row r="729" spans="2:7" s="32" customFormat="1" x14ac:dyDescent="0.25">
      <c r="B729" s="39"/>
      <c r="D729" s="59"/>
      <c r="E729" s="68"/>
      <c r="F729" s="95"/>
      <c r="G729" s="21"/>
    </row>
    <row r="730" spans="2:7" s="32" customFormat="1" x14ac:dyDescent="0.25">
      <c r="B730" s="39"/>
      <c r="D730" s="59"/>
      <c r="E730" s="68"/>
      <c r="F730" s="95"/>
      <c r="G730" s="21"/>
    </row>
    <row r="731" spans="2:7" s="32" customFormat="1" x14ac:dyDescent="0.25">
      <c r="B731" s="39"/>
      <c r="D731" s="59"/>
      <c r="E731" s="68"/>
      <c r="F731" s="95"/>
      <c r="G731" s="21"/>
    </row>
    <row r="732" spans="2:7" s="32" customFormat="1" x14ac:dyDescent="0.25">
      <c r="B732" s="39"/>
      <c r="D732" s="59"/>
      <c r="E732" s="68"/>
      <c r="F732" s="95"/>
      <c r="G732" s="21"/>
    </row>
    <row r="733" spans="2:7" s="32" customFormat="1" x14ac:dyDescent="0.25">
      <c r="B733" s="39"/>
      <c r="D733" s="59"/>
      <c r="E733" s="68"/>
      <c r="F733" s="95"/>
      <c r="G733" s="21"/>
    </row>
    <row r="734" spans="2:7" s="32" customFormat="1" x14ac:dyDescent="0.25">
      <c r="B734" s="39"/>
      <c r="D734" s="59"/>
      <c r="E734" s="68"/>
      <c r="F734" s="95"/>
      <c r="G734" s="21"/>
    </row>
    <row r="735" spans="2:7" s="32" customFormat="1" x14ac:dyDescent="0.25">
      <c r="B735" s="39"/>
      <c r="D735" s="59"/>
      <c r="E735" s="68"/>
      <c r="F735" s="95"/>
      <c r="G735" s="21"/>
    </row>
    <row r="736" spans="2:7" s="32" customFormat="1" x14ac:dyDescent="0.25">
      <c r="B736" s="39"/>
      <c r="D736" s="59"/>
      <c r="E736" s="68"/>
      <c r="F736" s="95"/>
      <c r="G736" s="21"/>
    </row>
    <row r="737" spans="2:7" s="32" customFormat="1" x14ac:dyDescent="0.25">
      <c r="B737" s="39"/>
      <c r="D737" s="59"/>
      <c r="E737" s="68"/>
      <c r="F737" s="95"/>
      <c r="G737" s="21"/>
    </row>
    <row r="738" spans="2:7" s="32" customFormat="1" x14ac:dyDescent="0.25">
      <c r="B738" s="39"/>
      <c r="D738" s="59"/>
      <c r="E738" s="68"/>
      <c r="F738" s="95"/>
      <c r="G738" s="21"/>
    </row>
    <row r="739" spans="2:7" s="32" customFormat="1" x14ac:dyDescent="0.25">
      <c r="B739" s="39"/>
      <c r="D739" s="59"/>
      <c r="E739" s="68"/>
      <c r="F739" s="95"/>
      <c r="G739" s="21"/>
    </row>
    <row r="740" spans="2:7" s="32" customFormat="1" x14ac:dyDescent="0.25">
      <c r="B740" s="39"/>
      <c r="D740" s="59"/>
      <c r="E740" s="68"/>
      <c r="F740" s="95"/>
      <c r="G740" s="21"/>
    </row>
    <row r="741" spans="2:7" s="32" customFormat="1" x14ac:dyDescent="0.25">
      <c r="B741" s="39"/>
      <c r="D741" s="59"/>
      <c r="E741" s="68"/>
      <c r="F741" s="95"/>
      <c r="G741" s="21"/>
    </row>
    <row r="742" spans="2:7" s="32" customFormat="1" x14ac:dyDescent="0.25">
      <c r="B742" s="39"/>
      <c r="D742" s="59"/>
      <c r="E742" s="68"/>
      <c r="F742" s="95"/>
      <c r="G742" s="21"/>
    </row>
    <row r="743" spans="2:7" s="32" customFormat="1" x14ac:dyDescent="0.25">
      <c r="B743" s="39"/>
      <c r="D743" s="59"/>
      <c r="E743" s="68"/>
      <c r="F743" s="95"/>
      <c r="G743" s="21"/>
    </row>
    <row r="744" spans="2:7" s="32" customFormat="1" x14ac:dyDescent="0.25">
      <c r="B744" s="39"/>
      <c r="D744" s="59"/>
      <c r="E744" s="68"/>
      <c r="F744" s="95"/>
      <c r="G744" s="21"/>
    </row>
    <row r="745" spans="2:7" s="32" customFormat="1" x14ac:dyDescent="0.25">
      <c r="B745" s="39"/>
      <c r="D745" s="59"/>
      <c r="E745" s="68"/>
      <c r="F745" s="95"/>
      <c r="G745" s="21"/>
    </row>
    <row r="746" spans="2:7" s="32" customFormat="1" x14ac:dyDescent="0.25">
      <c r="B746" s="39"/>
      <c r="D746" s="59"/>
      <c r="E746" s="68"/>
      <c r="F746" s="95"/>
      <c r="G746" s="21"/>
    </row>
    <row r="747" spans="2:7" s="32" customFormat="1" x14ac:dyDescent="0.25">
      <c r="B747" s="39"/>
      <c r="D747" s="59"/>
      <c r="E747" s="68"/>
      <c r="F747" s="95"/>
      <c r="G747" s="21"/>
    </row>
    <row r="748" spans="2:7" s="32" customFormat="1" x14ac:dyDescent="0.25">
      <c r="B748" s="39"/>
      <c r="D748" s="59"/>
      <c r="E748" s="68"/>
      <c r="F748" s="95"/>
      <c r="G748" s="21"/>
    </row>
    <row r="749" spans="2:7" s="32" customFormat="1" x14ac:dyDescent="0.25">
      <c r="B749" s="39"/>
      <c r="D749" s="59"/>
      <c r="E749" s="68"/>
      <c r="F749" s="95"/>
      <c r="G749" s="21"/>
    </row>
    <row r="750" spans="2:7" s="32" customFormat="1" x14ac:dyDescent="0.25">
      <c r="B750" s="39"/>
      <c r="D750" s="59"/>
      <c r="E750" s="68"/>
      <c r="F750" s="95"/>
      <c r="G750" s="21"/>
    </row>
    <row r="751" spans="2:7" s="32" customFormat="1" x14ac:dyDescent="0.25">
      <c r="B751" s="39"/>
      <c r="D751" s="59"/>
      <c r="E751" s="68"/>
      <c r="F751" s="95"/>
      <c r="G751" s="21"/>
    </row>
    <row r="752" spans="2:7" s="32" customFormat="1" x14ac:dyDescent="0.25">
      <c r="B752" s="39"/>
      <c r="D752" s="59"/>
      <c r="E752" s="68"/>
      <c r="F752" s="95"/>
      <c r="G752" s="21"/>
    </row>
    <row r="753" spans="2:7" s="32" customFormat="1" x14ac:dyDescent="0.25">
      <c r="B753" s="39"/>
      <c r="D753" s="59"/>
      <c r="E753" s="68"/>
      <c r="F753" s="95"/>
      <c r="G753" s="21"/>
    </row>
    <row r="754" spans="2:7" s="32" customFormat="1" x14ac:dyDescent="0.25">
      <c r="B754" s="39"/>
      <c r="D754" s="59"/>
      <c r="E754" s="68"/>
      <c r="F754" s="95"/>
      <c r="G754" s="21"/>
    </row>
    <row r="755" spans="2:7" s="32" customFormat="1" x14ac:dyDescent="0.25">
      <c r="B755" s="39"/>
      <c r="D755" s="59"/>
      <c r="E755" s="68"/>
      <c r="F755" s="95"/>
      <c r="G755" s="21"/>
    </row>
    <row r="756" spans="2:7" s="32" customFormat="1" x14ac:dyDescent="0.25">
      <c r="B756" s="39"/>
      <c r="D756" s="59"/>
      <c r="E756" s="68"/>
      <c r="F756" s="95"/>
      <c r="G756" s="21"/>
    </row>
    <row r="757" spans="2:7" s="32" customFormat="1" x14ac:dyDescent="0.25">
      <c r="B757" s="39"/>
      <c r="D757" s="59"/>
      <c r="E757" s="68"/>
      <c r="F757" s="95"/>
      <c r="G757" s="21"/>
    </row>
    <row r="758" spans="2:7" s="32" customFormat="1" x14ac:dyDescent="0.25">
      <c r="B758" s="39"/>
      <c r="D758" s="59"/>
      <c r="E758" s="68"/>
      <c r="F758" s="95"/>
      <c r="G758" s="21"/>
    </row>
    <row r="759" spans="2:7" s="32" customFormat="1" x14ac:dyDescent="0.25">
      <c r="B759" s="39"/>
      <c r="D759" s="59"/>
      <c r="E759" s="68"/>
      <c r="F759" s="95"/>
      <c r="G759" s="21"/>
    </row>
    <row r="760" spans="2:7" s="32" customFormat="1" x14ac:dyDescent="0.25">
      <c r="B760" s="39"/>
      <c r="D760" s="59"/>
      <c r="E760" s="68"/>
      <c r="F760" s="95"/>
      <c r="G760" s="21"/>
    </row>
    <row r="761" spans="2:7" s="32" customFormat="1" x14ac:dyDescent="0.25">
      <c r="B761" s="39"/>
      <c r="D761" s="59"/>
      <c r="E761" s="68"/>
      <c r="F761" s="95"/>
      <c r="G761" s="21"/>
    </row>
    <row r="762" spans="2:7" s="32" customFormat="1" x14ac:dyDescent="0.25">
      <c r="B762" s="39"/>
      <c r="D762" s="59"/>
      <c r="E762" s="68"/>
      <c r="F762" s="95"/>
      <c r="G762" s="21"/>
    </row>
    <row r="763" spans="2:7" s="32" customFormat="1" x14ac:dyDescent="0.25">
      <c r="B763" s="39"/>
      <c r="D763" s="59"/>
      <c r="E763" s="68"/>
      <c r="F763" s="95"/>
      <c r="G763" s="21"/>
    </row>
    <row r="764" spans="2:7" s="32" customFormat="1" x14ac:dyDescent="0.25">
      <c r="B764" s="39"/>
      <c r="D764" s="59"/>
      <c r="E764" s="68"/>
      <c r="F764" s="95"/>
      <c r="G764" s="21"/>
    </row>
    <row r="765" spans="2:7" s="32" customFormat="1" x14ac:dyDescent="0.25">
      <c r="B765" s="39"/>
      <c r="D765" s="59"/>
      <c r="E765" s="68"/>
      <c r="F765" s="95"/>
      <c r="G765" s="21"/>
    </row>
    <row r="766" spans="2:7" s="32" customFormat="1" x14ac:dyDescent="0.25">
      <c r="B766" s="39"/>
      <c r="D766" s="59"/>
      <c r="E766" s="68"/>
      <c r="F766" s="95"/>
      <c r="G766" s="21"/>
    </row>
    <row r="767" spans="2:7" s="32" customFormat="1" x14ac:dyDescent="0.25">
      <c r="B767" s="39"/>
      <c r="D767" s="59"/>
      <c r="E767" s="68"/>
      <c r="F767" s="95"/>
      <c r="G767" s="21"/>
    </row>
    <row r="768" spans="2:7" s="32" customFormat="1" x14ac:dyDescent="0.25">
      <c r="B768" s="39"/>
      <c r="D768" s="59"/>
      <c r="E768" s="68"/>
      <c r="F768" s="95"/>
      <c r="G768" s="21"/>
    </row>
    <row r="769" spans="2:7" s="32" customFormat="1" x14ac:dyDescent="0.25">
      <c r="B769" s="39"/>
      <c r="D769" s="59"/>
      <c r="E769" s="68"/>
      <c r="F769" s="95"/>
      <c r="G769" s="21"/>
    </row>
    <row r="770" spans="2:7" s="32" customFormat="1" x14ac:dyDescent="0.25">
      <c r="B770" s="39"/>
      <c r="D770" s="59"/>
      <c r="E770" s="68"/>
      <c r="F770" s="95"/>
      <c r="G770" s="21"/>
    </row>
    <row r="771" spans="2:7" s="32" customFormat="1" x14ac:dyDescent="0.25">
      <c r="B771" s="39"/>
      <c r="D771" s="59"/>
      <c r="E771" s="68"/>
      <c r="F771" s="95"/>
      <c r="G771" s="21"/>
    </row>
    <row r="772" spans="2:7" s="32" customFormat="1" x14ac:dyDescent="0.25">
      <c r="B772" s="39"/>
      <c r="D772" s="59"/>
      <c r="E772" s="68"/>
      <c r="F772" s="95"/>
      <c r="G772" s="21"/>
    </row>
    <row r="773" spans="2:7" s="32" customFormat="1" x14ac:dyDescent="0.25">
      <c r="B773" s="39"/>
      <c r="D773" s="59"/>
      <c r="E773" s="68"/>
      <c r="F773" s="95"/>
      <c r="G773" s="21"/>
    </row>
    <row r="774" spans="2:7" s="32" customFormat="1" x14ac:dyDescent="0.25">
      <c r="B774" s="39"/>
      <c r="D774" s="59"/>
      <c r="E774" s="68"/>
      <c r="F774" s="95"/>
      <c r="G774" s="21"/>
    </row>
    <row r="775" spans="2:7" s="32" customFormat="1" x14ac:dyDescent="0.25">
      <c r="B775" s="39"/>
      <c r="D775" s="59"/>
      <c r="E775" s="68"/>
      <c r="F775" s="95"/>
      <c r="G775" s="21"/>
    </row>
    <row r="776" spans="2:7" s="32" customFormat="1" x14ac:dyDescent="0.25">
      <c r="B776" s="39"/>
      <c r="D776" s="59"/>
      <c r="E776" s="68"/>
      <c r="F776" s="95"/>
      <c r="G776" s="21"/>
    </row>
    <row r="777" spans="2:7" s="32" customFormat="1" x14ac:dyDescent="0.25">
      <c r="B777" s="39"/>
      <c r="D777" s="59"/>
      <c r="E777" s="68"/>
      <c r="F777" s="95"/>
      <c r="G777" s="21"/>
    </row>
    <row r="778" spans="2:7" s="32" customFormat="1" x14ac:dyDescent="0.25">
      <c r="B778" s="39"/>
      <c r="D778" s="59"/>
      <c r="E778" s="68"/>
      <c r="F778" s="95"/>
      <c r="G778" s="21"/>
    </row>
    <row r="779" spans="2:7" s="32" customFormat="1" x14ac:dyDescent="0.25">
      <c r="B779" s="39"/>
      <c r="D779" s="59"/>
      <c r="E779" s="68"/>
      <c r="F779" s="95"/>
      <c r="G779" s="21"/>
    </row>
    <row r="780" spans="2:7" s="32" customFormat="1" x14ac:dyDescent="0.25">
      <c r="B780" s="39"/>
      <c r="D780" s="59"/>
      <c r="E780" s="68"/>
      <c r="F780" s="95"/>
      <c r="G780" s="21"/>
    </row>
    <row r="781" spans="2:7" s="32" customFormat="1" x14ac:dyDescent="0.25">
      <c r="B781" s="39"/>
      <c r="D781" s="59"/>
      <c r="E781" s="68"/>
      <c r="F781" s="95"/>
      <c r="G781" s="21"/>
    </row>
    <row r="782" spans="2:7" s="32" customFormat="1" x14ac:dyDescent="0.25">
      <c r="B782" s="39"/>
      <c r="D782" s="59"/>
      <c r="E782" s="68"/>
      <c r="F782" s="95"/>
      <c r="G782" s="21"/>
    </row>
    <row r="783" spans="2:7" s="32" customFormat="1" x14ac:dyDescent="0.25">
      <c r="B783" s="39"/>
      <c r="D783" s="59"/>
      <c r="E783" s="68"/>
      <c r="F783" s="95"/>
      <c r="G783" s="21"/>
    </row>
    <row r="784" spans="2:7" s="32" customFormat="1" x14ac:dyDescent="0.25">
      <c r="B784" s="39"/>
      <c r="D784" s="59"/>
      <c r="E784" s="68"/>
      <c r="F784" s="95"/>
      <c r="G784" s="21"/>
    </row>
    <row r="785" spans="2:7" s="32" customFormat="1" x14ac:dyDescent="0.25">
      <c r="B785" s="39"/>
      <c r="D785" s="59"/>
      <c r="E785" s="68"/>
      <c r="F785" s="95"/>
      <c r="G785" s="21"/>
    </row>
    <row r="786" spans="2:7" s="32" customFormat="1" x14ac:dyDescent="0.25">
      <c r="B786" s="39"/>
      <c r="D786" s="59"/>
      <c r="E786" s="68"/>
      <c r="F786" s="95"/>
      <c r="G786" s="21"/>
    </row>
    <row r="787" spans="2:7" s="32" customFormat="1" x14ac:dyDescent="0.25">
      <c r="B787" s="39"/>
      <c r="D787" s="59"/>
      <c r="E787" s="68"/>
      <c r="F787" s="95"/>
      <c r="G787" s="21"/>
    </row>
    <row r="788" spans="2:7" s="32" customFormat="1" x14ac:dyDescent="0.25">
      <c r="B788" s="39"/>
      <c r="D788" s="59"/>
      <c r="E788" s="68"/>
      <c r="F788" s="95"/>
      <c r="G788" s="21"/>
    </row>
    <row r="789" spans="2:7" s="32" customFormat="1" x14ac:dyDescent="0.25">
      <c r="B789" s="39"/>
      <c r="D789" s="59"/>
      <c r="E789" s="68"/>
      <c r="F789" s="95"/>
      <c r="G789" s="21"/>
    </row>
    <row r="790" spans="2:7" s="32" customFormat="1" x14ac:dyDescent="0.25">
      <c r="B790" s="39"/>
      <c r="D790" s="59"/>
      <c r="E790" s="68"/>
      <c r="F790" s="95"/>
      <c r="G790" s="21"/>
    </row>
    <row r="791" spans="2:7" s="32" customFormat="1" x14ac:dyDescent="0.25">
      <c r="B791" s="39"/>
      <c r="D791" s="59"/>
      <c r="E791" s="68"/>
      <c r="F791" s="95"/>
      <c r="G791" s="21"/>
    </row>
    <row r="792" spans="2:7" s="32" customFormat="1" x14ac:dyDescent="0.25">
      <c r="B792" s="39"/>
      <c r="D792" s="59"/>
      <c r="E792" s="68"/>
      <c r="F792" s="95"/>
      <c r="G792" s="21"/>
    </row>
    <row r="793" spans="2:7" s="32" customFormat="1" x14ac:dyDescent="0.25">
      <c r="B793" s="39"/>
      <c r="D793" s="59"/>
      <c r="E793" s="68"/>
      <c r="F793" s="95"/>
      <c r="G793" s="21"/>
    </row>
    <row r="794" spans="2:7" s="32" customFormat="1" x14ac:dyDescent="0.25">
      <c r="B794" s="39"/>
      <c r="D794" s="59"/>
      <c r="E794" s="68"/>
      <c r="F794" s="95"/>
      <c r="G794" s="21"/>
    </row>
    <row r="795" spans="2:7" s="32" customFormat="1" x14ac:dyDescent="0.25">
      <c r="B795" s="39"/>
      <c r="D795" s="59"/>
      <c r="E795" s="68"/>
      <c r="F795" s="95"/>
      <c r="G795" s="21"/>
    </row>
    <row r="796" spans="2:7" s="32" customFormat="1" x14ac:dyDescent="0.25">
      <c r="B796" s="39"/>
      <c r="D796" s="59"/>
      <c r="E796" s="68"/>
      <c r="F796" s="95"/>
      <c r="G796" s="21"/>
    </row>
    <row r="797" spans="2:7" s="32" customFormat="1" x14ac:dyDescent="0.25">
      <c r="B797" s="39"/>
      <c r="D797" s="59"/>
      <c r="E797" s="68"/>
      <c r="F797" s="95"/>
      <c r="G797" s="21"/>
    </row>
    <row r="798" spans="2:7" s="32" customFormat="1" x14ac:dyDescent="0.25">
      <c r="B798" s="39"/>
      <c r="D798" s="59"/>
      <c r="E798" s="68"/>
      <c r="F798" s="95"/>
      <c r="G798" s="21"/>
    </row>
    <row r="799" spans="2:7" s="32" customFormat="1" x14ac:dyDescent="0.25">
      <c r="B799" s="39"/>
      <c r="D799" s="59"/>
      <c r="E799" s="68"/>
      <c r="F799" s="95"/>
      <c r="G799" s="21"/>
    </row>
    <row r="800" spans="2:7" s="32" customFormat="1" x14ac:dyDescent="0.25">
      <c r="B800" s="39"/>
      <c r="D800" s="59"/>
      <c r="E800" s="68"/>
      <c r="F800" s="95"/>
      <c r="G800" s="21"/>
    </row>
    <row r="801" spans="2:7" s="32" customFormat="1" x14ac:dyDescent="0.25">
      <c r="B801" s="39"/>
      <c r="D801" s="59"/>
      <c r="E801" s="68"/>
      <c r="F801" s="95"/>
      <c r="G801" s="21"/>
    </row>
    <row r="802" spans="2:7" s="32" customFormat="1" x14ac:dyDescent="0.25">
      <c r="B802" s="39"/>
      <c r="D802" s="59"/>
      <c r="E802" s="68"/>
      <c r="F802" s="95"/>
      <c r="G802" s="21"/>
    </row>
    <row r="803" spans="2:7" s="32" customFormat="1" x14ac:dyDescent="0.25">
      <c r="B803" s="39"/>
      <c r="D803" s="59"/>
      <c r="E803" s="68"/>
      <c r="F803" s="95"/>
      <c r="G803" s="21"/>
    </row>
    <row r="804" spans="2:7" s="32" customFormat="1" x14ac:dyDescent="0.25">
      <c r="B804" s="39"/>
      <c r="D804" s="59"/>
      <c r="E804" s="68"/>
      <c r="F804" s="95"/>
      <c r="G804" s="21"/>
    </row>
    <row r="805" spans="2:7" s="32" customFormat="1" x14ac:dyDescent="0.25">
      <c r="B805" s="39"/>
      <c r="D805" s="59"/>
      <c r="E805" s="68"/>
      <c r="F805" s="95"/>
      <c r="G805" s="21"/>
    </row>
    <row r="806" spans="2:7" s="32" customFormat="1" x14ac:dyDescent="0.25">
      <c r="B806" s="39"/>
      <c r="D806" s="59"/>
      <c r="E806" s="68"/>
      <c r="F806" s="95"/>
      <c r="G806" s="21"/>
    </row>
    <row r="807" spans="2:7" s="32" customFormat="1" x14ac:dyDescent="0.25">
      <c r="B807" s="39"/>
      <c r="D807" s="59"/>
      <c r="E807" s="68"/>
      <c r="F807" s="95"/>
      <c r="G807" s="21"/>
    </row>
    <row r="808" spans="2:7" s="32" customFormat="1" x14ac:dyDescent="0.25">
      <c r="B808" s="39"/>
      <c r="D808" s="59"/>
      <c r="E808" s="68"/>
      <c r="F808" s="95"/>
      <c r="G808" s="21"/>
    </row>
    <row r="809" spans="2:7" s="32" customFormat="1" x14ac:dyDescent="0.25">
      <c r="B809" s="39"/>
      <c r="D809" s="59"/>
      <c r="E809" s="68"/>
      <c r="F809" s="95"/>
      <c r="G809" s="21"/>
    </row>
    <row r="810" spans="2:7" s="32" customFormat="1" x14ac:dyDescent="0.25">
      <c r="B810" s="39"/>
      <c r="D810" s="59"/>
      <c r="E810" s="68"/>
      <c r="F810" s="95"/>
      <c r="G810" s="21"/>
    </row>
    <row r="811" spans="2:7" s="32" customFormat="1" x14ac:dyDescent="0.25">
      <c r="B811" s="39"/>
      <c r="D811" s="59"/>
      <c r="E811" s="68"/>
      <c r="F811" s="95"/>
      <c r="G811" s="21"/>
    </row>
    <row r="812" spans="2:7" s="32" customFormat="1" x14ac:dyDescent="0.25">
      <c r="B812" s="39"/>
      <c r="D812" s="59"/>
      <c r="E812" s="68"/>
      <c r="F812" s="95"/>
      <c r="G812" s="21"/>
    </row>
    <row r="813" spans="2:7" s="32" customFormat="1" x14ac:dyDescent="0.25">
      <c r="B813" s="39"/>
      <c r="D813" s="59"/>
      <c r="E813" s="68"/>
      <c r="F813" s="95"/>
      <c r="G813" s="21"/>
    </row>
    <row r="814" spans="2:7" s="32" customFormat="1" x14ac:dyDescent="0.25">
      <c r="B814" s="39"/>
      <c r="D814" s="59"/>
      <c r="E814" s="68"/>
      <c r="F814" s="95"/>
      <c r="G814" s="21"/>
    </row>
    <row r="815" spans="2:7" s="32" customFormat="1" x14ac:dyDescent="0.25">
      <c r="B815" s="39"/>
      <c r="D815" s="59"/>
      <c r="E815" s="68"/>
      <c r="F815" s="95"/>
      <c r="G815" s="21"/>
    </row>
    <row r="816" spans="2:7" s="32" customFormat="1" x14ac:dyDescent="0.25">
      <c r="B816" s="39"/>
      <c r="D816" s="59"/>
      <c r="E816" s="68"/>
      <c r="F816" s="95"/>
      <c r="G816" s="21"/>
    </row>
    <row r="817" spans="2:7" s="32" customFormat="1" x14ac:dyDescent="0.25">
      <c r="B817" s="39"/>
      <c r="D817" s="59"/>
      <c r="E817" s="68"/>
      <c r="F817" s="95"/>
      <c r="G817" s="21"/>
    </row>
    <row r="818" spans="2:7" s="32" customFormat="1" x14ac:dyDescent="0.25">
      <c r="B818" s="39"/>
      <c r="D818" s="59"/>
      <c r="E818" s="68"/>
      <c r="F818" s="95"/>
      <c r="G818" s="21"/>
    </row>
    <row r="819" spans="2:7" s="32" customFormat="1" x14ac:dyDescent="0.25">
      <c r="B819" s="39"/>
      <c r="D819" s="59"/>
      <c r="E819" s="68"/>
      <c r="F819" s="95"/>
      <c r="G819" s="21"/>
    </row>
    <row r="820" spans="2:7" s="32" customFormat="1" x14ac:dyDescent="0.25">
      <c r="B820" s="39"/>
      <c r="D820" s="59"/>
      <c r="E820" s="68"/>
      <c r="F820" s="95"/>
      <c r="G820" s="21"/>
    </row>
    <row r="821" spans="2:7" s="32" customFormat="1" x14ac:dyDescent="0.25">
      <c r="B821" s="39"/>
      <c r="D821" s="59"/>
      <c r="E821" s="68"/>
      <c r="F821" s="95"/>
      <c r="G821" s="21"/>
    </row>
    <row r="822" spans="2:7" s="32" customFormat="1" x14ac:dyDescent="0.25">
      <c r="B822" s="39"/>
      <c r="D822" s="59"/>
      <c r="E822" s="68"/>
      <c r="F822" s="95"/>
      <c r="G822" s="21"/>
    </row>
    <row r="823" spans="2:7" s="32" customFormat="1" x14ac:dyDescent="0.25">
      <c r="B823" s="39"/>
      <c r="D823" s="59"/>
      <c r="E823" s="68"/>
      <c r="F823" s="95"/>
      <c r="G823" s="21"/>
    </row>
    <row r="824" spans="2:7" s="32" customFormat="1" x14ac:dyDescent="0.25">
      <c r="B824" s="39"/>
      <c r="D824" s="59"/>
      <c r="E824" s="68"/>
      <c r="F824" s="95"/>
      <c r="G824" s="21"/>
    </row>
    <row r="825" spans="2:7" s="32" customFormat="1" x14ac:dyDescent="0.25">
      <c r="B825" s="39"/>
      <c r="D825" s="59"/>
      <c r="E825" s="68"/>
      <c r="F825" s="95"/>
      <c r="G825" s="21"/>
    </row>
    <row r="826" spans="2:7" s="32" customFormat="1" x14ac:dyDescent="0.25">
      <c r="B826" s="39"/>
      <c r="D826" s="59"/>
      <c r="E826" s="68"/>
      <c r="F826" s="95"/>
      <c r="G826" s="21"/>
    </row>
    <row r="827" spans="2:7" s="32" customFormat="1" x14ac:dyDescent="0.25">
      <c r="B827" s="39"/>
      <c r="D827" s="59"/>
      <c r="E827" s="68"/>
      <c r="F827" s="95"/>
      <c r="G827" s="21"/>
    </row>
    <row r="828" spans="2:7" s="32" customFormat="1" x14ac:dyDescent="0.25">
      <c r="B828" s="39"/>
      <c r="D828" s="59"/>
      <c r="E828" s="68"/>
      <c r="F828" s="95"/>
      <c r="G828" s="21"/>
    </row>
    <row r="829" spans="2:7" s="32" customFormat="1" x14ac:dyDescent="0.25">
      <c r="B829" s="39"/>
      <c r="D829" s="59"/>
      <c r="E829" s="68"/>
      <c r="F829" s="95"/>
      <c r="G829" s="21"/>
    </row>
    <row r="830" spans="2:7" s="32" customFormat="1" x14ac:dyDescent="0.25">
      <c r="B830" s="39"/>
      <c r="D830" s="59"/>
      <c r="E830" s="68"/>
      <c r="F830" s="95"/>
      <c r="G830" s="21"/>
    </row>
    <row r="831" spans="2:7" s="32" customFormat="1" x14ac:dyDescent="0.25">
      <c r="B831" s="39"/>
      <c r="D831" s="59"/>
      <c r="E831" s="68"/>
      <c r="F831" s="95"/>
      <c r="G831" s="21"/>
    </row>
    <row r="832" spans="2:7" s="32" customFormat="1" x14ac:dyDescent="0.25">
      <c r="B832" s="39"/>
      <c r="D832" s="59"/>
      <c r="E832" s="68"/>
      <c r="F832" s="95"/>
      <c r="G832" s="21"/>
    </row>
    <row r="833" spans="2:7" s="32" customFormat="1" x14ac:dyDescent="0.25">
      <c r="B833" s="39"/>
      <c r="D833" s="59"/>
      <c r="E833" s="68"/>
      <c r="F833" s="95"/>
      <c r="G833" s="21"/>
    </row>
    <row r="834" spans="2:7" s="32" customFormat="1" x14ac:dyDescent="0.25">
      <c r="B834" s="39"/>
      <c r="D834" s="59"/>
      <c r="E834" s="68"/>
      <c r="F834" s="95"/>
      <c r="G834" s="21"/>
    </row>
    <row r="835" spans="2:7" s="32" customFormat="1" x14ac:dyDescent="0.25">
      <c r="B835" s="39"/>
      <c r="D835" s="59"/>
      <c r="E835" s="68"/>
      <c r="F835" s="95"/>
      <c r="G835" s="21"/>
    </row>
    <row r="836" spans="2:7" s="32" customFormat="1" x14ac:dyDescent="0.25">
      <c r="B836" s="39"/>
      <c r="D836" s="59"/>
      <c r="E836" s="68"/>
      <c r="F836" s="95"/>
      <c r="G836" s="21"/>
    </row>
    <row r="837" spans="2:7" s="32" customFormat="1" x14ac:dyDescent="0.25">
      <c r="B837" s="39"/>
      <c r="D837" s="59"/>
      <c r="E837" s="68"/>
      <c r="F837" s="95"/>
      <c r="G837" s="21"/>
    </row>
    <row r="838" spans="2:7" s="32" customFormat="1" x14ac:dyDescent="0.25">
      <c r="B838" s="39"/>
      <c r="D838" s="59"/>
      <c r="E838" s="68"/>
      <c r="F838" s="95"/>
      <c r="G838" s="21"/>
    </row>
    <row r="839" spans="2:7" s="32" customFormat="1" x14ac:dyDescent="0.25">
      <c r="B839" s="39"/>
      <c r="D839" s="59"/>
      <c r="E839" s="68"/>
      <c r="F839" s="95"/>
      <c r="G839" s="21"/>
    </row>
    <row r="840" spans="2:7" s="32" customFormat="1" x14ac:dyDescent="0.25">
      <c r="B840" s="39"/>
      <c r="D840" s="59"/>
      <c r="E840" s="68"/>
      <c r="F840" s="95"/>
      <c r="G840" s="21"/>
    </row>
    <row r="841" spans="2:7" s="32" customFormat="1" x14ac:dyDescent="0.25">
      <c r="B841" s="39"/>
      <c r="D841" s="59"/>
      <c r="E841" s="68"/>
      <c r="F841" s="95"/>
      <c r="G841" s="21"/>
    </row>
    <row r="842" spans="2:7" s="32" customFormat="1" x14ac:dyDescent="0.25">
      <c r="B842" s="39"/>
      <c r="D842" s="59"/>
      <c r="E842" s="68"/>
      <c r="F842" s="95"/>
      <c r="G842" s="21"/>
    </row>
    <row r="843" spans="2:7" s="32" customFormat="1" x14ac:dyDescent="0.25">
      <c r="B843" s="39"/>
      <c r="D843" s="59"/>
      <c r="E843" s="68"/>
      <c r="F843" s="95"/>
      <c r="G843" s="21"/>
    </row>
    <row r="844" spans="2:7" s="32" customFormat="1" x14ac:dyDescent="0.25">
      <c r="B844" s="39"/>
      <c r="D844" s="59"/>
      <c r="E844" s="68"/>
      <c r="F844" s="95"/>
      <c r="G844" s="21"/>
    </row>
    <row r="845" spans="2:7" s="32" customFormat="1" x14ac:dyDescent="0.25">
      <c r="B845" s="39"/>
      <c r="D845" s="59"/>
      <c r="E845" s="68"/>
      <c r="F845" s="95"/>
      <c r="G845" s="21"/>
    </row>
    <row r="846" spans="2:7" s="32" customFormat="1" x14ac:dyDescent="0.25">
      <c r="B846" s="39"/>
      <c r="D846" s="59"/>
      <c r="E846" s="68"/>
      <c r="F846" s="95"/>
      <c r="G846" s="21"/>
    </row>
    <row r="847" spans="2:7" s="32" customFormat="1" x14ac:dyDescent="0.25">
      <c r="B847" s="39"/>
      <c r="D847" s="59"/>
      <c r="E847" s="68"/>
      <c r="F847" s="95"/>
      <c r="G847" s="21"/>
    </row>
    <row r="848" spans="2:7" s="32" customFormat="1" x14ac:dyDescent="0.25">
      <c r="B848" s="39"/>
      <c r="D848" s="59"/>
      <c r="E848" s="68"/>
      <c r="F848" s="95"/>
      <c r="G848" s="21"/>
    </row>
    <row r="849" spans="2:7" s="32" customFormat="1" x14ac:dyDescent="0.25">
      <c r="B849" s="39"/>
      <c r="D849" s="59"/>
      <c r="E849" s="68"/>
      <c r="F849" s="95"/>
      <c r="G849" s="21"/>
    </row>
    <row r="850" spans="2:7" s="32" customFormat="1" x14ac:dyDescent="0.25">
      <c r="B850" s="39"/>
      <c r="D850" s="59"/>
      <c r="E850" s="68"/>
      <c r="F850" s="95"/>
      <c r="G850" s="21"/>
    </row>
    <row r="851" spans="2:7" s="32" customFormat="1" x14ac:dyDescent="0.25">
      <c r="B851" s="39"/>
      <c r="D851" s="59"/>
      <c r="E851" s="68"/>
      <c r="F851" s="95"/>
      <c r="G851" s="21"/>
    </row>
    <row r="852" spans="2:7" s="32" customFormat="1" x14ac:dyDescent="0.25">
      <c r="B852" s="39"/>
      <c r="D852" s="59"/>
      <c r="E852" s="68"/>
      <c r="F852" s="95"/>
      <c r="G852" s="21"/>
    </row>
    <row r="853" spans="2:7" s="32" customFormat="1" x14ac:dyDescent="0.25">
      <c r="B853" s="39"/>
      <c r="D853" s="59"/>
      <c r="E853" s="68"/>
      <c r="F853" s="95"/>
      <c r="G853" s="21"/>
    </row>
    <row r="854" spans="2:7" s="32" customFormat="1" x14ac:dyDescent="0.25">
      <c r="B854" s="39"/>
      <c r="D854" s="59"/>
      <c r="E854" s="68"/>
      <c r="F854" s="95"/>
      <c r="G854" s="21"/>
    </row>
    <row r="855" spans="2:7" s="32" customFormat="1" x14ac:dyDescent="0.25">
      <c r="B855" s="39"/>
      <c r="D855" s="59"/>
      <c r="E855" s="68"/>
      <c r="F855" s="95"/>
      <c r="G855" s="21"/>
    </row>
    <row r="856" spans="2:7" s="32" customFormat="1" x14ac:dyDescent="0.25">
      <c r="B856" s="39"/>
      <c r="D856" s="59"/>
      <c r="E856" s="68"/>
      <c r="F856" s="95"/>
      <c r="G856" s="21"/>
    </row>
    <row r="857" spans="2:7" s="32" customFormat="1" x14ac:dyDescent="0.25">
      <c r="B857" s="39"/>
      <c r="D857" s="59"/>
      <c r="E857" s="68"/>
      <c r="F857" s="95"/>
      <c r="G857" s="21"/>
    </row>
    <row r="858" spans="2:7" s="32" customFormat="1" x14ac:dyDescent="0.25">
      <c r="B858" s="39"/>
      <c r="D858" s="59"/>
      <c r="E858" s="68"/>
      <c r="F858" s="95"/>
      <c r="G858" s="21"/>
    </row>
    <row r="859" spans="2:7" s="32" customFormat="1" x14ac:dyDescent="0.25">
      <c r="B859" s="39"/>
      <c r="D859" s="59"/>
      <c r="E859" s="68"/>
      <c r="F859" s="95"/>
      <c r="G859" s="21"/>
    </row>
    <row r="860" spans="2:7" s="32" customFormat="1" x14ac:dyDescent="0.25">
      <c r="B860" s="39"/>
      <c r="D860" s="59"/>
      <c r="E860" s="68"/>
      <c r="F860" s="95"/>
      <c r="G860" s="21"/>
    </row>
    <row r="861" spans="2:7" s="32" customFormat="1" x14ac:dyDescent="0.25">
      <c r="B861" s="39"/>
      <c r="D861" s="59"/>
      <c r="E861" s="68"/>
      <c r="F861" s="95"/>
      <c r="G861" s="21"/>
    </row>
    <row r="862" spans="2:7" s="32" customFormat="1" x14ac:dyDescent="0.25">
      <c r="B862" s="39"/>
      <c r="D862" s="59"/>
      <c r="E862" s="68"/>
      <c r="F862" s="95"/>
      <c r="G862" s="21"/>
    </row>
    <row r="863" spans="2:7" s="32" customFormat="1" x14ac:dyDescent="0.25">
      <c r="B863" s="39"/>
      <c r="D863" s="59"/>
      <c r="E863" s="68"/>
      <c r="F863" s="95"/>
      <c r="G863" s="21"/>
    </row>
    <row r="864" spans="2:7" s="32" customFormat="1" x14ac:dyDescent="0.25">
      <c r="B864" s="39"/>
      <c r="D864" s="59"/>
      <c r="E864" s="68"/>
      <c r="F864" s="95"/>
      <c r="G864" s="21"/>
    </row>
    <row r="865" spans="2:7" s="32" customFormat="1" x14ac:dyDescent="0.25">
      <c r="B865" s="39"/>
      <c r="D865" s="59"/>
      <c r="E865" s="68"/>
      <c r="F865" s="95"/>
      <c r="G865" s="21"/>
    </row>
    <row r="866" spans="2:7" s="32" customFormat="1" x14ac:dyDescent="0.25">
      <c r="B866" s="39"/>
      <c r="D866" s="59"/>
      <c r="E866" s="68"/>
      <c r="F866" s="95"/>
      <c r="G866" s="21"/>
    </row>
    <row r="867" spans="2:7" s="32" customFormat="1" x14ac:dyDescent="0.25">
      <c r="B867" s="39"/>
      <c r="D867" s="59"/>
      <c r="E867" s="68"/>
      <c r="F867" s="95"/>
      <c r="G867" s="21"/>
    </row>
    <row r="868" spans="2:7" s="32" customFormat="1" x14ac:dyDescent="0.25">
      <c r="B868" s="39"/>
      <c r="D868" s="59"/>
      <c r="E868" s="68"/>
      <c r="F868" s="95"/>
      <c r="G868" s="21"/>
    </row>
    <row r="869" spans="2:7" s="32" customFormat="1" x14ac:dyDescent="0.25">
      <c r="B869" s="39"/>
      <c r="D869" s="59"/>
      <c r="E869" s="68"/>
      <c r="F869" s="95"/>
      <c r="G869" s="21"/>
    </row>
    <row r="870" spans="2:7" s="32" customFormat="1" x14ac:dyDescent="0.25">
      <c r="B870" s="39"/>
      <c r="D870" s="59"/>
      <c r="E870" s="68"/>
      <c r="F870" s="95"/>
      <c r="G870" s="21"/>
    </row>
    <row r="871" spans="2:7" s="32" customFormat="1" x14ac:dyDescent="0.25">
      <c r="B871" s="39"/>
      <c r="D871" s="59"/>
      <c r="E871" s="68"/>
      <c r="F871" s="95"/>
      <c r="G871" s="21"/>
    </row>
    <row r="872" spans="2:7" s="32" customFormat="1" x14ac:dyDescent="0.25">
      <c r="B872" s="39"/>
      <c r="D872" s="59"/>
      <c r="E872" s="68"/>
      <c r="F872" s="95"/>
      <c r="G872" s="21"/>
    </row>
    <row r="873" spans="2:7" s="32" customFormat="1" x14ac:dyDescent="0.25">
      <c r="B873" s="39"/>
      <c r="D873" s="59"/>
      <c r="E873" s="68"/>
      <c r="F873" s="95"/>
      <c r="G873" s="21"/>
    </row>
    <row r="874" spans="2:7" s="32" customFormat="1" x14ac:dyDescent="0.25">
      <c r="B874" s="39"/>
      <c r="D874" s="59"/>
      <c r="E874" s="68"/>
      <c r="F874" s="95"/>
      <c r="G874" s="21"/>
    </row>
    <row r="875" spans="2:7" s="32" customFormat="1" x14ac:dyDescent="0.25">
      <c r="B875" s="39"/>
      <c r="D875" s="59"/>
      <c r="E875" s="68"/>
      <c r="F875" s="95"/>
      <c r="G875" s="21"/>
    </row>
    <row r="876" spans="2:7" s="32" customFormat="1" x14ac:dyDescent="0.25">
      <c r="B876" s="39"/>
      <c r="D876" s="59"/>
      <c r="E876" s="68"/>
      <c r="F876" s="95"/>
      <c r="G876" s="21"/>
    </row>
    <row r="877" spans="2:7" s="32" customFormat="1" x14ac:dyDescent="0.25">
      <c r="B877" s="39"/>
      <c r="D877" s="59"/>
      <c r="E877" s="68"/>
      <c r="F877" s="95"/>
      <c r="G877" s="21"/>
    </row>
    <row r="878" spans="2:7" s="32" customFormat="1" x14ac:dyDescent="0.25">
      <c r="B878" s="39"/>
      <c r="D878" s="59"/>
      <c r="E878" s="68"/>
      <c r="F878" s="95"/>
      <c r="G878" s="21"/>
    </row>
    <row r="879" spans="2:7" s="32" customFormat="1" x14ac:dyDescent="0.25">
      <c r="B879" s="39"/>
      <c r="D879" s="59"/>
      <c r="E879" s="68"/>
      <c r="F879" s="95"/>
      <c r="G879" s="21"/>
    </row>
    <row r="880" spans="2:7" s="32" customFormat="1" x14ac:dyDescent="0.25">
      <c r="B880" s="39"/>
      <c r="D880" s="59"/>
      <c r="E880" s="68"/>
      <c r="F880" s="95"/>
      <c r="G880" s="21"/>
    </row>
    <row r="881" spans="2:7" s="32" customFormat="1" x14ac:dyDescent="0.25">
      <c r="B881" s="39"/>
      <c r="D881" s="59"/>
      <c r="E881" s="68"/>
      <c r="F881" s="95"/>
      <c r="G881" s="21"/>
    </row>
    <row r="882" spans="2:7" s="32" customFormat="1" x14ac:dyDescent="0.25">
      <c r="B882" s="39"/>
      <c r="D882" s="59"/>
      <c r="E882" s="68"/>
      <c r="F882" s="95"/>
      <c r="G882" s="21"/>
    </row>
    <row r="883" spans="2:7" s="32" customFormat="1" x14ac:dyDescent="0.25">
      <c r="B883" s="39"/>
      <c r="D883" s="59"/>
      <c r="E883" s="68"/>
      <c r="F883" s="95"/>
      <c r="G883" s="21"/>
    </row>
    <row r="884" spans="2:7" s="32" customFormat="1" x14ac:dyDescent="0.25">
      <c r="B884" s="39"/>
      <c r="D884" s="59"/>
      <c r="E884" s="68"/>
      <c r="F884" s="95"/>
      <c r="G884" s="21"/>
    </row>
    <row r="885" spans="2:7" s="32" customFormat="1" x14ac:dyDescent="0.25">
      <c r="B885" s="39"/>
      <c r="D885" s="59"/>
      <c r="E885" s="68"/>
      <c r="F885" s="95"/>
      <c r="G885" s="21"/>
    </row>
    <row r="886" spans="2:7" s="32" customFormat="1" x14ac:dyDescent="0.25">
      <c r="B886" s="39"/>
      <c r="D886" s="59"/>
      <c r="E886" s="68"/>
      <c r="F886" s="95"/>
      <c r="G886" s="21"/>
    </row>
    <row r="887" spans="2:7" s="32" customFormat="1" x14ac:dyDescent="0.25">
      <c r="B887" s="39"/>
      <c r="D887" s="59"/>
      <c r="E887" s="68"/>
      <c r="F887" s="95"/>
      <c r="G887" s="21"/>
    </row>
    <row r="888" spans="2:7" s="32" customFormat="1" x14ac:dyDescent="0.25">
      <c r="B888" s="39"/>
      <c r="D888" s="59"/>
      <c r="E888" s="68"/>
      <c r="F888" s="95"/>
      <c r="G888" s="21"/>
    </row>
    <row r="889" spans="2:7" s="32" customFormat="1" x14ac:dyDescent="0.25">
      <c r="B889" s="39"/>
      <c r="D889" s="59"/>
      <c r="E889" s="68"/>
      <c r="F889" s="95"/>
      <c r="G889" s="21"/>
    </row>
    <row r="890" spans="2:7" s="32" customFormat="1" x14ac:dyDescent="0.25">
      <c r="B890" s="39"/>
      <c r="D890" s="59"/>
      <c r="E890" s="68"/>
      <c r="F890" s="95"/>
      <c r="G890" s="21"/>
    </row>
    <row r="891" spans="2:7" s="32" customFormat="1" x14ac:dyDescent="0.25">
      <c r="B891" s="39"/>
      <c r="D891" s="59"/>
      <c r="E891" s="68"/>
      <c r="F891" s="95"/>
      <c r="G891" s="21"/>
    </row>
    <row r="892" spans="2:7" s="32" customFormat="1" x14ac:dyDescent="0.25">
      <c r="B892" s="39"/>
      <c r="D892" s="59"/>
      <c r="E892" s="68"/>
      <c r="F892" s="95"/>
      <c r="G892" s="21"/>
    </row>
    <row r="893" spans="2:7" s="32" customFormat="1" x14ac:dyDescent="0.25">
      <c r="B893" s="39"/>
      <c r="D893" s="59"/>
      <c r="E893" s="68"/>
      <c r="F893" s="95"/>
      <c r="G893" s="21"/>
    </row>
    <row r="894" spans="2:7" s="32" customFormat="1" x14ac:dyDescent="0.25">
      <c r="B894" s="39"/>
      <c r="D894" s="59"/>
      <c r="E894" s="68"/>
      <c r="F894" s="95"/>
      <c r="G894" s="21"/>
    </row>
    <row r="895" spans="2:7" s="32" customFormat="1" x14ac:dyDescent="0.25">
      <c r="B895" s="39"/>
      <c r="D895" s="59"/>
      <c r="E895" s="68"/>
      <c r="F895" s="95"/>
      <c r="G895" s="21"/>
    </row>
    <row r="896" spans="2:7" s="32" customFormat="1" x14ac:dyDescent="0.25">
      <c r="B896" s="39"/>
      <c r="D896" s="59"/>
      <c r="E896" s="68"/>
      <c r="F896" s="95"/>
      <c r="G896" s="21"/>
    </row>
    <row r="897" spans="2:7" s="32" customFormat="1" x14ac:dyDescent="0.25">
      <c r="B897" s="39"/>
      <c r="D897" s="59"/>
      <c r="E897" s="68"/>
      <c r="F897" s="95"/>
      <c r="G897" s="21"/>
    </row>
    <row r="898" spans="2:7" s="32" customFormat="1" x14ac:dyDescent="0.25">
      <c r="B898" s="39"/>
      <c r="D898" s="59"/>
      <c r="E898" s="68"/>
      <c r="F898" s="95"/>
      <c r="G898" s="21"/>
    </row>
    <row r="899" spans="2:7" s="32" customFormat="1" x14ac:dyDescent="0.25">
      <c r="B899" s="39"/>
      <c r="D899" s="59"/>
      <c r="E899" s="68"/>
      <c r="F899" s="95"/>
      <c r="G899" s="21"/>
    </row>
    <row r="900" spans="2:7" s="32" customFormat="1" x14ac:dyDescent="0.25">
      <c r="B900" s="39"/>
      <c r="D900" s="59"/>
      <c r="E900" s="68"/>
      <c r="F900" s="95"/>
      <c r="G900" s="21"/>
    </row>
    <row r="901" spans="2:7" s="32" customFormat="1" x14ac:dyDescent="0.25">
      <c r="B901" s="39"/>
      <c r="D901" s="59"/>
      <c r="E901" s="68"/>
      <c r="F901" s="95"/>
      <c r="G901" s="21"/>
    </row>
    <row r="902" spans="2:7" s="32" customFormat="1" x14ac:dyDescent="0.25">
      <c r="B902" s="39"/>
      <c r="D902" s="59"/>
      <c r="E902" s="68"/>
      <c r="F902" s="95"/>
      <c r="G902" s="21"/>
    </row>
    <row r="903" spans="2:7" s="32" customFormat="1" x14ac:dyDescent="0.25">
      <c r="B903" s="39"/>
      <c r="D903" s="59"/>
      <c r="E903" s="68"/>
      <c r="F903" s="95"/>
      <c r="G903" s="21"/>
    </row>
    <row r="904" spans="2:7" s="32" customFormat="1" x14ac:dyDescent="0.25">
      <c r="B904" s="39"/>
      <c r="D904" s="59"/>
      <c r="E904" s="68"/>
      <c r="F904" s="95"/>
      <c r="G904" s="21"/>
    </row>
    <row r="905" spans="2:7" s="32" customFormat="1" x14ac:dyDescent="0.25">
      <c r="B905" s="39"/>
      <c r="D905" s="59"/>
      <c r="E905" s="68"/>
      <c r="F905" s="95"/>
      <c r="G905" s="21"/>
    </row>
  </sheetData>
  <mergeCells count="14">
    <mergeCell ref="B6:E6"/>
    <mergeCell ref="B1:F1"/>
    <mergeCell ref="A2:F2"/>
    <mergeCell ref="A3:F3"/>
    <mergeCell ref="B4:E4"/>
    <mergeCell ref="A5:F5"/>
    <mergeCell ref="A13:F13"/>
    <mergeCell ref="B14:E14"/>
    <mergeCell ref="A7:F7"/>
    <mergeCell ref="B8:E8"/>
    <mergeCell ref="A9:F9"/>
    <mergeCell ref="B10:E10"/>
    <mergeCell ref="A11:F11"/>
    <mergeCell ref="B12:E12"/>
  </mergeCells>
  <pageMargins left="0.51181102362204722" right="0.39370078740157483" top="0.94488188976377963" bottom="0.74803149606299213" header="0.23622047244094491" footer="0.31496062992125984"/>
  <pageSetup paperSize="9" firstPageNumber="21"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D</oddHeader>
    <oddFooter>&amp;L&amp;"Arial,Regular"&amp;9Bill of Quantities&amp;R&amp;"Arial,Regular"&amp;9BOQ.&amp;P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0"/>
  <sheetViews>
    <sheetView showRuler="0" view="pageBreakPreview" topLeftCell="A66" zoomScale="130" zoomScaleNormal="100" zoomScaleSheetLayoutView="130" workbookViewId="0">
      <selection activeCell="C88" sqref="C88"/>
    </sheetView>
  </sheetViews>
  <sheetFormatPr defaultColWidth="6.5703125" defaultRowHeight="15" customHeight="1" x14ac:dyDescent="0.25"/>
  <cols>
    <col min="1" max="1" width="5.140625" style="35" bestFit="1" customWidth="1"/>
    <col min="2" max="2" width="9.28515625" style="35" customWidth="1"/>
    <col min="3" max="3" width="38.5703125" style="27" customWidth="1"/>
    <col min="4" max="4" width="4.5703125" style="32" customWidth="1"/>
    <col min="5" max="5" width="6.28515625" style="59" customWidth="1"/>
    <col min="6" max="6" width="12.7109375" style="68" customWidth="1"/>
    <col min="7" max="7" width="17.140625" style="21" customWidth="1"/>
    <col min="8" max="8" width="6.5703125" style="27"/>
    <col min="9" max="9" width="10.85546875" style="27" bestFit="1" customWidth="1"/>
    <col min="10" max="10" width="6.5703125" style="27"/>
    <col min="11" max="11" width="9.5703125" style="27" bestFit="1" customWidth="1"/>
    <col min="12" max="16384" width="6.5703125" style="27"/>
  </cols>
  <sheetData>
    <row r="1" spans="1:7" ht="15" customHeight="1" x14ac:dyDescent="0.25">
      <c r="A1" s="526" t="s">
        <v>431</v>
      </c>
      <c r="B1" s="526"/>
      <c r="C1" s="526"/>
      <c r="D1" s="526"/>
      <c r="E1" s="526"/>
      <c r="F1" s="526"/>
      <c r="G1" s="526"/>
    </row>
    <row r="2" spans="1:7" ht="27.75" customHeight="1" x14ac:dyDescent="0.25">
      <c r="A2" s="31" t="s">
        <v>91</v>
      </c>
      <c r="B2" s="31" t="s">
        <v>21</v>
      </c>
      <c r="C2" s="147" t="s">
        <v>0</v>
      </c>
      <c r="D2" s="31" t="s">
        <v>1</v>
      </c>
      <c r="E2" s="90" t="s">
        <v>22</v>
      </c>
      <c r="F2" s="63" t="s">
        <v>2</v>
      </c>
      <c r="G2" s="31" t="s">
        <v>77</v>
      </c>
    </row>
    <row r="3" spans="1:7" ht="12" customHeight="1" x14ac:dyDescent="0.25">
      <c r="A3" s="458"/>
      <c r="B3" s="459"/>
      <c r="C3" s="459"/>
      <c r="D3" s="460"/>
      <c r="E3" s="461"/>
      <c r="F3" s="462"/>
      <c r="G3" s="463"/>
    </row>
    <row r="4" spans="1:7" ht="24" x14ac:dyDescent="0.25">
      <c r="A4" s="289"/>
      <c r="B4" s="283"/>
      <c r="C4" s="272" t="s">
        <v>433</v>
      </c>
      <c r="D4" s="290"/>
      <c r="E4" s="211"/>
      <c r="F4" s="234"/>
      <c r="G4" s="232"/>
    </row>
    <row r="5" spans="1:7" ht="12" x14ac:dyDescent="0.25">
      <c r="A5" s="399"/>
      <c r="B5" s="400"/>
      <c r="C5" s="244"/>
      <c r="D5" s="401"/>
      <c r="E5" s="236"/>
      <c r="F5" s="237"/>
      <c r="G5" s="238"/>
    </row>
    <row r="6" spans="1:7" ht="12" x14ac:dyDescent="0.25">
      <c r="A6" s="231" t="s">
        <v>963</v>
      </c>
      <c r="B6" s="283"/>
      <c r="C6" s="218" t="s">
        <v>1020</v>
      </c>
      <c r="D6" s="290"/>
      <c r="E6" s="211"/>
      <c r="F6" s="234"/>
      <c r="G6" s="232"/>
    </row>
    <row r="7" spans="1:7" ht="12" x14ac:dyDescent="0.25">
      <c r="A7" s="402"/>
      <c r="B7" s="205"/>
      <c r="C7" s="403"/>
      <c r="D7" s="401"/>
      <c r="E7" s="236"/>
      <c r="F7" s="237"/>
      <c r="G7" s="238"/>
    </row>
    <row r="8" spans="1:7" ht="96" x14ac:dyDescent="0.25">
      <c r="A8" s="108" t="s">
        <v>964</v>
      </c>
      <c r="B8" s="210" t="s">
        <v>2163</v>
      </c>
      <c r="C8" s="119" t="s">
        <v>613</v>
      </c>
      <c r="D8" s="210" t="s">
        <v>28</v>
      </c>
      <c r="E8" s="211">
        <v>1</v>
      </c>
      <c r="F8" s="234"/>
      <c r="G8" s="255"/>
    </row>
    <row r="9" spans="1:7" ht="12" x14ac:dyDescent="0.25">
      <c r="A9" s="404"/>
      <c r="B9" s="251"/>
      <c r="C9" s="254"/>
      <c r="D9" s="251"/>
      <c r="E9" s="236"/>
      <c r="F9" s="237"/>
      <c r="G9" s="252"/>
    </row>
    <row r="10" spans="1:7" ht="25.15" customHeight="1" x14ac:dyDescent="0.25">
      <c r="A10" s="108" t="s">
        <v>965</v>
      </c>
      <c r="B10" s="210" t="s">
        <v>2165</v>
      </c>
      <c r="C10" s="119" t="s">
        <v>2166</v>
      </c>
      <c r="D10" s="210" t="s">
        <v>92</v>
      </c>
      <c r="E10" s="211">
        <v>2</v>
      </c>
      <c r="F10" s="234"/>
      <c r="G10" s="255"/>
    </row>
    <row r="11" spans="1:7" ht="12" x14ac:dyDescent="0.25">
      <c r="A11" s="404"/>
      <c r="B11" s="251"/>
      <c r="C11" s="254"/>
      <c r="D11" s="251"/>
      <c r="E11" s="236"/>
      <c r="F11" s="237"/>
      <c r="G11" s="252"/>
    </row>
    <row r="12" spans="1:7" ht="13.5" x14ac:dyDescent="0.25">
      <c r="A12" s="108" t="s">
        <v>2164</v>
      </c>
      <c r="B12" s="210" t="s">
        <v>2162</v>
      </c>
      <c r="C12" s="220" t="s">
        <v>615</v>
      </c>
      <c r="D12" s="142" t="s">
        <v>88</v>
      </c>
      <c r="E12" s="211">
        <f>+ROUND((PI()*0.25*11.3*11.3*1.53)+(PI()*5.65*5.65*9.49/3),1)</f>
        <v>470.7</v>
      </c>
      <c r="F12" s="234"/>
      <c r="G12" s="255"/>
    </row>
    <row r="13" spans="1:7" ht="12" customHeight="1" x14ac:dyDescent="0.25">
      <c r="A13" s="402"/>
      <c r="B13" s="205"/>
      <c r="C13" s="403"/>
      <c r="D13" s="401"/>
      <c r="E13" s="236"/>
      <c r="F13" s="237"/>
      <c r="G13" s="238"/>
    </row>
    <row r="14" spans="1:7" ht="24" x14ac:dyDescent="0.25">
      <c r="A14" s="231" t="s">
        <v>1021</v>
      </c>
      <c r="B14" s="207" t="s">
        <v>14</v>
      </c>
      <c r="C14" s="38" t="s">
        <v>241</v>
      </c>
      <c r="D14" s="290"/>
      <c r="E14" s="211"/>
      <c r="F14" s="234"/>
      <c r="G14" s="232"/>
    </row>
    <row r="15" spans="1:7" ht="12" customHeight="1" x14ac:dyDescent="0.25">
      <c r="A15" s="404"/>
      <c r="B15" s="205"/>
      <c r="C15" s="405"/>
      <c r="D15" s="401"/>
      <c r="E15" s="236"/>
      <c r="F15" s="237"/>
      <c r="G15" s="238"/>
    </row>
    <row r="16" spans="1:7" ht="28.5" customHeight="1" x14ac:dyDescent="0.25">
      <c r="A16" s="108"/>
      <c r="B16" s="207" t="s">
        <v>552</v>
      </c>
      <c r="C16" s="60" t="s">
        <v>554</v>
      </c>
      <c r="D16" s="290"/>
      <c r="E16" s="211"/>
      <c r="F16" s="234"/>
      <c r="G16" s="232"/>
    </row>
    <row r="17" spans="1:7" ht="12" customHeight="1" x14ac:dyDescent="0.25">
      <c r="A17" s="404"/>
      <c r="B17" s="205"/>
      <c r="C17" s="405"/>
      <c r="D17" s="401"/>
      <c r="E17" s="236"/>
      <c r="F17" s="237"/>
      <c r="G17" s="238"/>
    </row>
    <row r="18" spans="1:7" ht="12" customHeight="1" x14ac:dyDescent="0.25">
      <c r="A18" s="108" t="s">
        <v>1259</v>
      </c>
      <c r="B18" s="229"/>
      <c r="C18" s="233" t="s">
        <v>765</v>
      </c>
      <c r="D18" s="142" t="s">
        <v>8</v>
      </c>
      <c r="E18" s="211">
        <v>2</v>
      </c>
      <c r="F18" s="234"/>
      <c r="G18" s="255"/>
    </row>
    <row r="19" spans="1:7" ht="12" customHeight="1" x14ac:dyDescent="0.25">
      <c r="A19" s="404"/>
      <c r="B19" s="205"/>
      <c r="C19" s="405"/>
      <c r="D19" s="401"/>
      <c r="E19" s="236"/>
      <c r="F19" s="237"/>
      <c r="G19" s="238"/>
    </row>
    <row r="20" spans="1:7" ht="12" customHeight="1" x14ac:dyDescent="0.25">
      <c r="A20" s="108" t="s">
        <v>1260</v>
      </c>
      <c r="B20" s="229"/>
      <c r="C20" s="233" t="s">
        <v>771</v>
      </c>
      <c r="D20" s="142" t="s">
        <v>6</v>
      </c>
      <c r="E20" s="211">
        <v>12</v>
      </c>
      <c r="F20" s="234"/>
      <c r="G20" s="255"/>
    </row>
    <row r="21" spans="1:7" ht="12" customHeight="1" x14ac:dyDescent="0.25">
      <c r="A21" s="404"/>
      <c r="B21" s="205"/>
      <c r="C21" s="405"/>
      <c r="D21" s="401"/>
      <c r="E21" s="236"/>
      <c r="F21" s="237"/>
      <c r="G21" s="238"/>
    </row>
    <row r="22" spans="1:7" ht="24" x14ac:dyDescent="0.25">
      <c r="A22" s="108"/>
      <c r="B22" s="207" t="s">
        <v>2167</v>
      </c>
      <c r="C22" s="218" t="s">
        <v>775</v>
      </c>
      <c r="D22" s="142"/>
      <c r="E22" s="211"/>
      <c r="F22" s="234"/>
      <c r="G22" s="255"/>
    </row>
    <row r="23" spans="1:7" ht="12" customHeight="1" x14ac:dyDescent="0.25">
      <c r="A23" s="404"/>
      <c r="B23" s="205"/>
      <c r="C23" s="405"/>
      <c r="D23" s="401"/>
      <c r="E23" s="236"/>
      <c r="F23" s="237"/>
      <c r="G23" s="238"/>
    </row>
    <row r="24" spans="1:7" ht="24" x14ac:dyDescent="0.25">
      <c r="A24" s="108" t="s">
        <v>1261</v>
      </c>
      <c r="B24" s="210"/>
      <c r="C24" s="233" t="s">
        <v>434</v>
      </c>
      <c r="D24" s="142" t="s">
        <v>28</v>
      </c>
      <c r="E24" s="211">
        <v>1</v>
      </c>
      <c r="F24" s="234"/>
      <c r="G24" s="255"/>
    </row>
    <row r="25" spans="1:7" ht="12" customHeight="1" x14ac:dyDescent="0.25">
      <c r="A25" s="404"/>
      <c r="B25" s="205"/>
      <c r="C25" s="405"/>
      <c r="D25" s="401"/>
      <c r="E25" s="236"/>
      <c r="F25" s="237"/>
      <c r="G25" s="238"/>
    </row>
    <row r="26" spans="1:7" ht="36" x14ac:dyDescent="0.25">
      <c r="A26" s="108" t="s">
        <v>1262</v>
      </c>
      <c r="B26" s="210"/>
      <c r="C26" s="119" t="s">
        <v>766</v>
      </c>
      <c r="D26" s="142" t="s">
        <v>28</v>
      </c>
      <c r="E26" s="211">
        <v>1</v>
      </c>
      <c r="F26" s="234"/>
      <c r="G26" s="255"/>
    </row>
    <row r="27" spans="1:7" ht="12" customHeight="1" x14ac:dyDescent="0.25">
      <c r="A27" s="404"/>
      <c r="B27" s="205"/>
      <c r="C27" s="405"/>
      <c r="D27" s="401"/>
      <c r="E27" s="236"/>
      <c r="F27" s="237"/>
      <c r="G27" s="238"/>
    </row>
    <row r="28" spans="1:7" ht="24" x14ac:dyDescent="0.25">
      <c r="A28" s="231" t="s">
        <v>1263</v>
      </c>
      <c r="B28" s="207" t="s">
        <v>3</v>
      </c>
      <c r="C28" s="38" t="s">
        <v>4</v>
      </c>
      <c r="D28" s="290"/>
      <c r="E28" s="211"/>
      <c r="F28" s="234"/>
      <c r="G28" s="232"/>
    </row>
    <row r="29" spans="1:7" ht="12" customHeight="1" x14ac:dyDescent="0.25">
      <c r="A29" s="404"/>
      <c r="B29" s="205"/>
      <c r="C29" s="405"/>
      <c r="D29" s="401"/>
      <c r="E29" s="236"/>
      <c r="F29" s="237"/>
      <c r="G29" s="238"/>
    </row>
    <row r="30" spans="1:7" ht="24" x14ac:dyDescent="0.25">
      <c r="A30" s="108" t="s">
        <v>1264</v>
      </c>
      <c r="B30" s="210" t="s">
        <v>13</v>
      </c>
      <c r="C30" s="119" t="s">
        <v>772</v>
      </c>
      <c r="D30" s="142" t="s">
        <v>8</v>
      </c>
      <c r="E30" s="211">
        <v>2</v>
      </c>
      <c r="F30" s="234"/>
      <c r="G30" s="255"/>
    </row>
    <row r="31" spans="1:7" ht="12" customHeight="1" x14ac:dyDescent="0.25">
      <c r="A31" s="404"/>
      <c r="B31" s="205"/>
      <c r="C31" s="405"/>
      <c r="D31" s="401"/>
      <c r="E31" s="236"/>
      <c r="F31" s="237"/>
      <c r="G31" s="238"/>
    </row>
    <row r="32" spans="1:7" ht="24" x14ac:dyDescent="0.25">
      <c r="A32" s="231" t="s">
        <v>1355</v>
      </c>
      <c r="B32" s="207" t="s">
        <v>148</v>
      </c>
      <c r="C32" s="38" t="s">
        <v>422</v>
      </c>
      <c r="D32" s="290"/>
      <c r="E32" s="211"/>
      <c r="F32" s="234"/>
      <c r="G32" s="232"/>
    </row>
    <row r="33" spans="1:7" ht="12" customHeight="1" x14ac:dyDescent="0.25">
      <c r="A33" s="404"/>
      <c r="B33" s="205"/>
      <c r="C33" s="405"/>
      <c r="D33" s="401"/>
      <c r="E33" s="236"/>
      <c r="F33" s="237"/>
      <c r="G33" s="238"/>
    </row>
    <row r="34" spans="1:7" ht="12" customHeight="1" x14ac:dyDescent="0.25">
      <c r="A34" s="108"/>
      <c r="B34" s="206">
        <v>8.1999999999999993</v>
      </c>
      <c r="C34" s="218" t="s">
        <v>149</v>
      </c>
      <c r="D34" s="290"/>
      <c r="E34" s="241"/>
      <c r="F34" s="234"/>
      <c r="G34" s="232"/>
    </row>
    <row r="35" spans="1:7" ht="12" customHeight="1" x14ac:dyDescent="0.25">
      <c r="A35" s="404"/>
      <c r="B35" s="205"/>
      <c r="C35" s="405"/>
      <c r="D35" s="401"/>
      <c r="E35" s="236"/>
      <c r="F35" s="237"/>
      <c r="G35" s="238"/>
    </row>
    <row r="36" spans="1:7" ht="12" customHeight="1" x14ac:dyDescent="0.25">
      <c r="A36" s="108"/>
      <c r="B36" s="206"/>
      <c r="C36" s="154" t="s">
        <v>172</v>
      </c>
      <c r="D36" s="290"/>
      <c r="E36" s="241"/>
      <c r="F36" s="234"/>
      <c r="G36" s="232"/>
    </row>
    <row r="37" spans="1:7" ht="12" customHeight="1" x14ac:dyDescent="0.25">
      <c r="A37" s="404"/>
      <c r="B37" s="205"/>
      <c r="C37" s="405"/>
      <c r="D37" s="401"/>
      <c r="E37" s="236"/>
      <c r="F37" s="237"/>
      <c r="G37" s="238"/>
    </row>
    <row r="38" spans="1:7" ht="13.5" x14ac:dyDescent="0.25">
      <c r="A38" s="108" t="s">
        <v>1356</v>
      </c>
      <c r="B38" s="142" t="s">
        <v>7</v>
      </c>
      <c r="C38" s="233" t="s">
        <v>2372</v>
      </c>
      <c r="D38" s="142" t="s">
        <v>87</v>
      </c>
      <c r="E38" s="211">
        <f>+ROUND((PI()*13.1*0.3)+(PI()*13.3*0.3),1)</f>
        <v>24.9</v>
      </c>
      <c r="F38" s="234"/>
      <c r="G38" s="255"/>
    </row>
    <row r="39" spans="1:7" ht="12" x14ac:dyDescent="0.25">
      <c r="A39" s="404"/>
      <c r="B39" s="240"/>
      <c r="C39" s="287"/>
      <c r="D39" s="240"/>
      <c r="E39" s="236"/>
      <c r="F39" s="237"/>
      <c r="G39" s="252"/>
    </row>
    <row r="40" spans="1:7" ht="28.5" customHeight="1" x14ac:dyDescent="0.25">
      <c r="A40" s="538" t="s">
        <v>609</v>
      </c>
      <c r="B40" s="538"/>
      <c r="C40" s="538"/>
      <c r="D40" s="538"/>
      <c r="E40" s="538"/>
      <c r="F40" s="538"/>
      <c r="G40" s="158"/>
    </row>
    <row r="41" spans="1:7" ht="28.5" customHeight="1" x14ac:dyDescent="0.25">
      <c r="A41" s="538" t="s">
        <v>610</v>
      </c>
      <c r="B41" s="538"/>
      <c r="C41" s="538"/>
      <c r="D41" s="538"/>
      <c r="E41" s="538"/>
      <c r="F41" s="538"/>
      <c r="G41" s="158"/>
    </row>
    <row r="42" spans="1:7" ht="12" x14ac:dyDescent="0.25">
      <c r="A42" s="404"/>
      <c r="B42" s="205"/>
      <c r="C42" s="405"/>
      <c r="D42" s="401"/>
      <c r="E42" s="236"/>
      <c r="F42" s="237"/>
      <c r="G42" s="238"/>
    </row>
    <row r="43" spans="1:7" ht="12" x14ac:dyDescent="0.25">
      <c r="A43" s="291"/>
      <c r="B43" s="206">
        <v>8.3000000000000007</v>
      </c>
      <c r="C43" s="218" t="s">
        <v>151</v>
      </c>
      <c r="D43" s="142"/>
      <c r="E43" s="211"/>
      <c r="F43" s="234"/>
      <c r="G43" s="255"/>
    </row>
    <row r="44" spans="1:7" ht="12" customHeight="1" x14ac:dyDescent="0.25">
      <c r="A44" s="404"/>
      <c r="B44" s="205"/>
      <c r="C44" s="405"/>
      <c r="D44" s="401"/>
      <c r="E44" s="236"/>
      <c r="F44" s="237"/>
      <c r="G44" s="238"/>
    </row>
    <row r="45" spans="1:7" ht="12" x14ac:dyDescent="0.25">
      <c r="A45" s="108"/>
      <c r="B45" s="142"/>
      <c r="C45" s="258" t="s">
        <v>406</v>
      </c>
      <c r="D45" s="142"/>
      <c r="E45" s="211"/>
      <c r="F45" s="234"/>
      <c r="G45" s="255"/>
    </row>
    <row r="46" spans="1:7" ht="12" customHeight="1" x14ac:dyDescent="0.25">
      <c r="A46" s="404"/>
      <c r="B46" s="205"/>
      <c r="C46" s="405"/>
      <c r="D46" s="401"/>
      <c r="E46" s="236"/>
      <c r="F46" s="237"/>
      <c r="G46" s="238"/>
    </row>
    <row r="47" spans="1:7" ht="12" customHeight="1" x14ac:dyDescent="0.25">
      <c r="A47" s="108" t="s">
        <v>1357</v>
      </c>
      <c r="B47" s="142" t="s">
        <v>26</v>
      </c>
      <c r="C47" s="119" t="s">
        <v>769</v>
      </c>
      <c r="D47" s="142" t="s">
        <v>655</v>
      </c>
      <c r="E47" s="211">
        <v>125</v>
      </c>
      <c r="F47" s="234"/>
      <c r="G47" s="255"/>
    </row>
    <row r="48" spans="1:7" ht="12" customHeight="1" x14ac:dyDescent="0.25">
      <c r="A48" s="404"/>
      <c r="B48" s="205"/>
      <c r="C48" s="405"/>
      <c r="D48" s="401"/>
      <c r="E48" s="236"/>
      <c r="F48" s="237"/>
      <c r="G48" s="238"/>
    </row>
    <row r="49" spans="1:7" ht="36" x14ac:dyDescent="0.25">
      <c r="A49" s="108" t="s">
        <v>1358</v>
      </c>
      <c r="B49" s="210" t="s">
        <v>2168</v>
      </c>
      <c r="C49" s="119" t="s">
        <v>770</v>
      </c>
      <c r="D49" s="142" t="s">
        <v>776</v>
      </c>
      <c r="E49" s="211">
        <v>15</v>
      </c>
      <c r="F49" s="234"/>
      <c r="G49" s="255"/>
    </row>
    <row r="50" spans="1:7" ht="12" customHeight="1" x14ac:dyDescent="0.25">
      <c r="A50" s="404"/>
      <c r="B50" s="205"/>
      <c r="C50" s="405"/>
      <c r="D50" s="401"/>
      <c r="E50" s="236"/>
      <c r="F50" s="237"/>
      <c r="G50" s="238"/>
    </row>
    <row r="51" spans="1:7" ht="12" customHeight="1" x14ac:dyDescent="0.25">
      <c r="A51" s="108"/>
      <c r="B51" s="206">
        <v>8.4</v>
      </c>
      <c r="C51" s="218" t="s">
        <v>152</v>
      </c>
      <c r="D51" s="142"/>
      <c r="E51" s="211"/>
      <c r="F51" s="234"/>
      <c r="G51" s="255"/>
    </row>
    <row r="52" spans="1:7" ht="12" customHeight="1" x14ac:dyDescent="0.25">
      <c r="A52" s="404"/>
      <c r="B52" s="205"/>
      <c r="C52" s="405"/>
      <c r="D52" s="401"/>
      <c r="E52" s="236"/>
      <c r="F52" s="237"/>
      <c r="G52" s="238"/>
    </row>
    <row r="53" spans="1:7" ht="12" customHeight="1" x14ac:dyDescent="0.25">
      <c r="A53" s="108" t="s">
        <v>1359</v>
      </c>
      <c r="B53" s="142" t="s">
        <v>58</v>
      </c>
      <c r="C53" s="233" t="s">
        <v>768</v>
      </c>
      <c r="D53" s="142" t="s">
        <v>87</v>
      </c>
      <c r="E53" s="241">
        <f>+ROUND((PI()*0.25*13.3*13.3)-(PI()*0.25*13.1*13.1),1)</f>
        <v>4.0999999999999996</v>
      </c>
      <c r="F53" s="234"/>
      <c r="G53" s="255"/>
    </row>
    <row r="54" spans="1:7" ht="12" customHeight="1" x14ac:dyDescent="0.25">
      <c r="A54" s="404"/>
      <c r="B54" s="205"/>
      <c r="C54" s="405"/>
      <c r="D54" s="401"/>
      <c r="E54" s="236"/>
      <c r="F54" s="237"/>
      <c r="G54" s="238"/>
    </row>
    <row r="55" spans="1:7" ht="12" customHeight="1" x14ac:dyDescent="0.25">
      <c r="A55" s="108"/>
      <c r="B55" s="206">
        <v>8.6999999999999993</v>
      </c>
      <c r="C55" s="218" t="s">
        <v>773</v>
      </c>
      <c r="D55" s="142"/>
      <c r="E55" s="241"/>
      <c r="F55" s="234"/>
      <c r="G55" s="255"/>
    </row>
    <row r="56" spans="1:7" ht="12" customHeight="1" x14ac:dyDescent="0.25">
      <c r="A56" s="404"/>
      <c r="B56" s="205"/>
      <c r="C56" s="405"/>
      <c r="D56" s="401"/>
      <c r="E56" s="236"/>
      <c r="F56" s="237"/>
      <c r="G56" s="238"/>
    </row>
    <row r="57" spans="1:7" ht="48" x14ac:dyDescent="0.25">
      <c r="A57" s="108" t="s">
        <v>2169</v>
      </c>
      <c r="B57" s="210" t="s">
        <v>2170</v>
      </c>
      <c r="C57" s="233" t="s">
        <v>774</v>
      </c>
      <c r="D57" s="142" t="s">
        <v>88</v>
      </c>
      <c r="E57" s="241">
        <f>+ROUND(ROUND((PI()*0.25*13.3*13.3)-(PI()*0.25*13.1*13.1),1)*0.3,1)</f>
        <v>1.2</v>
      </c>
      <c r="F57" s="234"/>
      <c r="G57" s="255"/>
    </row>
    <row r="58" spans="1:7" ht="12" customHeight="1" x14ac:dyDescent="0.25">
      <c r="A58" s="404"/>
      <c r="B58" s="205"/>
      <c r="C58" s="405"/>
      <c r="D58" s="401"/>
      <c r="E58" s="236"/>
      <c r="F58" s="237"/>
      <c r="G58" s="238"/>
    </row>
    <row r="59" spans="1:7" ht="12" customHeight="1" x14ac:dyDescent="0.25">
      <c r="A59" s="25"/>
      <c r="B59" s="121"/>
      <c r="C59" s="116"/>
      <c r="D59" s="121"/>
      <c r="E59" s="56"/>
      <c r="F59" s="70"/>
      <c r="G59" s="145"/>
    </row>
    <row r="60" spans="1:7" ht="12" customHeight="1" x14ac:dyDescent="0.25">
      <c r="A60" s="404"/>
      <c r="B60" s="205"/>
      <c r="C60" s="405"/>
      <c r="D60" s="401"/>
      <c r="E60" s="236"/>
      <c r="F60" s="237"/>
      <c r="G60" s="238"/>
    </row>
    <row r="61" spans="1:7" ht="12" customHeight="1" x14ac:dyDescent="0.25">
      <c r="A61" s="25"/>
      <c r="B61" s="121"/>
      <c r="C61" s="116"/>
      <c r="D61" s="121"/>
      <c r="E61" s="56"/>
      <c r="F61" s="70"/>
      <c r="G61" s="145"/>
    </row>
    <row r="62" spans="1:7" ht="12" customHeight="1" x14ac:dyDescent="0.25">
      <c r="A62" s="404"/>
      <c r="B62" s="205"/>
      <c r="C62" s="405"/>
      <c r="D62" s="401"/>
      <c r="E62" s="236"/>
      <c r="F62" s="237"/>
      <c r="G62" s="238"/>
    </row>
    <row r="63" spans="1:7" ht="12" customHeight="1" x14ac:dyDescent="0.25">
      <c r="A63" s="25"/>
      <c r="B63" s="121"/>
      <c r="C63" s="116"/>
      <c r="D63" s="121"/>
      <c r="E63" s="56"/>
      <c r="F63" s="70"/>
      <c r="G63" s="145"/>
    </row>
    <row r="64" spans="1:7" ht="12" customHeight="1" x14ac:dyDescent="0.25">
      <c r="A64" s="404"/>
      <c r="B64" s="205"/>
      <c r="C64" s="405"/>
      <c r="D64" s="401"/>
      <c r="E64" s="236"/>
      <c r="F64" s="237"/>
      <c r="G64" s="238"/>
    </row>
    <row r="65" spans="1:7" ht="12" customHeight="1" x14ac:dyDescent="0.25">
      <c r="A65" s="25"/>
      <c r="B65" s="121"/>
      <c r="C65" s="116"/>
      <c r="D65" s="121"/>
      <c r="E65" s="56"/>
      <c r="F65" s="70"/>
      <c r="G65" s="145"/>
    </row>
    <row r="66" spans="1:7" ht="12" customHeight="1" x14ac:dyDescent="0.25">
      <c r="A66" s="404"/>
      <c r="B66" s="205"/>
      <c r="C66" s="405"/>
      <c r="D66" s="401"/>
      <c r="E66" s="236"/>
      <c r="F66" s="237"/>
      <c r="G66" s="238"/>
    </row>
    <row r="67" spans="1:7" ht="12" customHeight="1" x14ac:dyDescent="0.25">
      <c r="A67" s="25"/>
      <c r="B67" s="121"/>
      <c r="C67" s="116"/>
      <c r="D67" s="121"/>
      <c r="E67" s="56"/>
      <c r="F67" s="70"/>
      <c r="G67" s="145"/>
    </row>
    <row r="68" spans="1:7" ht="12" customHeight="1" x14ac:dyDescent="0.25">
      <c r="A68" s="404"/>
      <c r="B68" s="205"/>
      <c r="C68" s="405"/>
      <c r="D68" s="401"/>
      <c r="E68" s="236"/>
      <c r="F68" s="237"/>
      <c r="G68" s="238"/>
    </row>
    <row r="69" spans="1:7" ht="12" customHeight="1" x14ac:dyDescent="0.25">
      <c r="A69" s="25"/>
      <c r="B69" s="121"/>
      <c r="C69" s="116"/>
      <c r="D69" s="121"/>
      <c r="E69" s="56"/>
      <c r="F69" s="70"/>
      <c r="G69" s="145"/>
    </row>
    <row r="70" spans="1:7" ht="12" customHeight="1" x14ac:dyDescent="0.25">
      <c r="A70" s="404"/>
      <c r="B70" s="205"/>
      <c r="C70" s="405"/>
      <c r="D70" s="401"/>
      <c r="E70" s="236"/>
      <c r="F70" s="237"/>
      <c r="G70" s="238"/>
    </row>
    <row r="71" spans="1:7" ht="12" customHeight="1" x14ac:dyDescent="0.25">
      <c r="A71" s="25"/>
      <c r="B71" s="121"/>
      <c r="C71" s="116"/>
      <c r="D71" s="121"/>
      <c r="E71" s="56"/>
      <c r="F71" s="70"/>
      <c r="G71" s="145"/>
    </row>
    <row r="72" spans="1:7" ht="12" customHeight="1" x14ac:dyDescent="0.25">
      <c r="A72" s="404"/>
      <c r="B72" s="205"/>
      <c r="C72" s="405"/>
      <c r="D72" s="401"/>
      <c r="E72" s="236"/>
      <c r="F72" s="237"/>
      <c r="G72" s="238"/>
    </row>
    <row r="73" spans="1:7" ht="12" customHeight="1" x14ac:dyDescent="0.25">
      <c r="A73" s="25"/>
      <c r="B73" s="121"/>
      <c r="C73" s="116"/>
      <c r="D73" s="121"/>
      <c r="E73" s="56"/>
      <c r="F73" s="70"/>
      <c r="G73" s="145"/>
    </row>
    <row r="74" spans="1:7" ht="12" customHeight="1" x14ac:dyDescent="0.25">
      <c r="A74" s="404"/>
      <c r="B74" s="205"/>
      <c r="C74" s="405"/>
      <c r="D74" s="401"/>
      <c r="E74" s="236"/>
      <c r="F74" s="237"/>
      <c r="G74" s="238"/>
    </row>
    <row r="75" spans="1:7" ht="12" customHeight="1" x14ac:dyDescent="0.25">
      <c r="A75" s="25"/>
      <c r="B75" s="121"/>
      <c r="C75" s="116"/>
      <c r="D75" s="121"/>
      <c r="E75" s="56"/>
      <c r="F75" s="70"/>
      <c r="G75" s="145"/>
    </row>
    <row r="76" spans="1:7" ht="12" customHeight="1" x14ac:dyDescent="0.25">
      <c r="A76" s="404"/>
      <c r="B76" s="205"/>
      <c r="C76" s="405"/>
      <c r="D76" s="401"/>
      <c r="E76" s="236"/>
      <c r="F76" s="237"/>
      <c r="G76" s="238"/>
    </row>
    <row r="77" spans="1:7" ht="12" customHeight="1" x14ac:dyDescent="0.25">
      <c r="A77" s="25"/>
      <c r="B77" s="121"/>
      <c r="C77" s="116"/>
      <c r="D77" s="121"/>
      <c r="E77" s="56"/>
      <c r="F77" s="70"/>
      <c r="G77" s="145"/>
    </row>
    <row r="78" spans="1:7" ht="12" customHeight="1" x14ac:dyDescent="0.25">
      <c r="A78" s="404"/>
      <c r="B78" s="205"/>
      <c r="C78" s="405"/>
      <c r="D78" s="401"/>
      <c r="E78" s="236"/>
      <c r="F78" s="237"/>
      <c r="G78" s="238"/>
    </row>
    <row r="79" spans="1:7" ht="12" customHeight="1" x14ac:dyDescent="0.25">
      <c r="A79" s="25"/>
      <c r="B79" s="121"/>
      <c r="C79" s="116"/>
      <c r="D79" s="121"/>
      <c r="E79" s="56"/>
      <c r="F79" s="70"/>
      <c r="G79" s="145"/>
    </row>
    <row r="80" spans="1:7" ht="12" customHeight="1" x14ac:dyDescent="0.25">
      <c r="A80" s="404"/>
      <c r="B80" s="205"/>
      <c r="C80" s="405"/>
      <c r="D80" s="401"/>
      <c r="E80" s="236"/>
      <c r="F80" s="237"/>
      <c r="G80" s="238"/>
    </row>
    <row r="81" spans="1:7" ht="12" customHeight="1" x14ac:dyDescent="0.25">
      <c r="A81" s="25"/>
      <c r="B81" s="121"/>
      <c r="C81" s="116"/>
      <c r="D81" s="121"/>
      <c r="E81" s="56"/>
      <c r="F81" s="70"/>
      <c r="G81" s="145"/>
    </row>
    <row r="82" spans="1:7" ht="12" customHeight="1" x14ac:dyDescent="0.25">
      <c r="A82" s="404"/>
      <c r="B82" s="205"/>
      <c r="C82" s="405"/>
      <c r="D82" s="401"/>
      <c r="E82" s="236"/>
      <c r="F82" s="237"/>
      <c r="G82" s="238"/>
    </row>
    <row r="83" spans="1:7" ht="12" customHeight="1" x14ac:dyDescent="0.25">
      <c r="A83" s="25"/>
      <c r="B83" s="121"/>
      <c r="C83" s="116"/>
      <c r="D83" s="121"/>
      <c r="E83" s="56"/>
      <c r="F83" s="70"/>
      <c r="G83" s="145"/>
    </row>
    <row r="84" spans="1:7" ht="12" customHeight="1" x14ac:dyDescent="0.25">
      <c r="A84" s="404"/>
      <c r="B84" s="205"/>
      <c r="C84" s="405"/>
      <c r="D84" s="401"/>
      <c r="E84" s="236"/>
      <c r="F84" s="237"/>
      <c r="G84" s="238"/>
    </row>
    <row r="85" spans="1:7" ht="12" customHeight="1" x14ac:dyDescent="0.25">
      <c r="A85" s="25"/>
      <c r="B85" s="121"/>
      <c r="C85" s="116"/>
      <c r="D85" s="121"/>
      <c r="E85" s="56"/>
      <c r="F85" s="70"/>
      <c r="G85" s="145"/>
    </row>
    <row r="86" spans="1:7" ht="12" customHeight="1" x14ac:dyDescent="0.25">
      <c r="A86" s="404"/>
      <c r="B86" s="205"/>
      <c r="C86" s="405"/>
      <c r="D86" s="401"/>
      <c r="E86" s="236"/>
      <c r="F86" s="237"/>
      <c r="G86" s="238"/>
    </row>
    <row r="87" spans="1:7" ht="12" customHeight="1" x14ac:dyDescent="0.25">
      <c r="A87" s="25"/>
      <c r="B87" s="121"/>
      <c r="C87" s="116"/>
      <c r="D87" s="121"/>
      <c r="E87" s="56"/>
      <c r="F87" s="70"/>
      <c r="G87" s="145"/>
    </row>
    <row r="88" spans="1:7" ht="12" customHeight="1" x14ac:dyDescent="0.25">
      <c r="A88" s="404"/>
      <c r="B88" s="205"/>
      <c r="C88" s="405"/>
      <c r="D88" s="401"/>
      <c r="E88" s="236"/>
      <c r="F88" s="237"/>
      <c r="G88" s="238"/>
    </row>
    <row r="89" spans="1:7" ht="12" customHeight="1" x14ac:dyDescent="0.25">
      <c r="A89" s="25"/>
      <c r="B89" s="121"/>
      <c r="C89" s="116"/>
      <c r="D89" s="121"/>
      <c r="E89" s="56"/>
      <c r="F89" s="70"/>
      <c r="G89" s="145"/>
    </row>
    <row r="90" spans="1:7" ht="28.5" customHeight="1" x14ac:dyDescent="0.25">
      <c r="A90" s="527" t="s">
        <v>612</v>
      </c>
      <c r="B90" s="527"/>
      <c r="C90" s="527"/>
      <c r="D90" s="527"/>
      <c r="E90" s="527"/>
      <c r="F90" s="527"/>
      <c r="G90" s="157"/>
    </row>
  </sheetData>
  <mergeCells count="4">
    <mergeCell ref="A1:G1"/>
    <mergeCell ref="A90:F90"/>
    <mergeCell ref="A40:F40"/>
    <mergeCell ref="A41:F41"/>
  </mergeCells>
  <pageMargins left="0.51181102362204722" right="0.39370078740157483" top="0.94488188976377963" bottom="0.74803149606299213" header="0.23622047244094491" footer="0.31496062992125984"/>
  <pageSetup paperSize="9" firstPageNumber="22" fitToHeight="0"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C</oddHeader>
    <oddFooter>&amp;L&amp;"Arial,Regular"&amp;9Bill of Quantities&amp;R&amp;"Arial,Regular"&amp;9BOQ.&amp;P</oddFooter>
  </headerFooter>
  <rowBreaks count="1" manualBreakCount="1">
    <brk id="40"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03"/>
  <sheetViews>
    <sheetView view="pageBreakPreview" topLeftCell="A17" zoomScale="130" zoomScaleNormal="115" zoomScaleSheetLayoutView="130" workbookViewId="0">
      <selection activeCell="C37" sqref="C37"/>
    </sheetView>
  </sheetViews>
  <sheetFormatPr defaultColWidth="8" defaultRowHeight="12" x14ac:dyDescent="0.25"/>
  <cols>
    <col min="1" max="1" width="7.5703125" style="315" customWidth="1"/>
    <col min="2" max="2" width="8.7109375" style="315" customWidth="1"/>
    <col min="3" max="3" width="35.140625" style="21" customWidth="1"/>
    <col min="4" max="4" width="5.140625" style="315" customWidth="1"/>
    <col min="5" max="5" width="7.140625" style="321" customWidth="1"/>
    <col min="6" max="6" width="12.140625" style="322" customWidth="1"/>
    <col min="7" max="7" width="17.7109375" style="323" customWidth="1"/>
    <col min="8" max="16384" width="8" style="21"/>
  </cols>
  <sheetData>
    <row r="1" spans="1:7" ht="15" customHeight="1" x14ac:dyDescent="0.25">
      <c r="A1" s="89"/>
      <c r="B1" s="316"/>
      <c r="C1" s="528" t="s">
        <v>435</v>
      </c>
      <c r="D1" s="528"/>
      <c r="E1" s="528"/>
      <c r="F1" s="528"/>
      <c r="G1" s="529"/>
    </row>
    <row r="2" spans="1:7" ht="27.75" customHeight="1" x14ac:dyDescent="0.25">
      <c r="A2" s="31" t="s">
        <v>91</v>
      </c>
      <c r="B2" s="31" t="s">
        <v>21</v>
      </c>
      <c r="C2" s="148" t="s">
        <v>0</v>
      </c>
      <c r="D2" s="73" t="s">
        <v>1</v>
      </c>
      <c r="E2" s="74" t="s">
        <v>22</v>
      </c>
      <c r="F2" s="75" t="s">
        <v>2</v>
      </c>
      <c r="G2" s="94" t="s">
        <v>77</v>
      </c>
    </row>
    <row r="3" spans="1:7" ht="12" customHeight="1" x14ac:dyDescent="0.25">
      <c r="A3" s="406"/>
      <c r="B3" s="407"/>
      <c r="C3" s="369"/>
      <c r="D3" s="408"/>
      <c r="E3" s="409"/>
      <c r="F3" s="410"/>
      <c r="G3" s="411"/>
    </row>
    <row r="4" spans="1:7" ht="24" x14ac:dyDescent="0.25">
      <c r="A4" s="312" t="s">
        <v>139</v>
      </c>
      <c r="B4" s="283"/>
      <c r="C4" s="45" t="s">
        <v>780</v>
      </c>
      <c r="D4" s="229"/>
      <c r="E4" s="295"/>
      <c r="F4" s="317"/>
      <c r="G4" s="318"/>
    </row>
    <row r="5" spans="1:7" ht="12" customHeight="1" x14ac:dyDescent="0.25">
      <c r="A5" s="412"/>
      <c r="B5" s="205"/>
      <c r="C5" s="413"/>
      <c r="D5" s="414"/>
      <c r="E5" s="415"/>
      <c r="F5" s="416"/>
      <c r="G5" s="417"/>
    </row>
    <row r="6" spans="1:7" ht="96" x14ac:dyDescent="0.25">
      <c r="A6" s="248" t="s">
        <v>966</v>
      </c>
      <c r="B6" s="210" t="s">
        <v>2163</v>
      </c>
      <c r="C6" s="113" t="s">
        <v>781</v>
      </c>
      <c r="D6" s="210" t="s">
        <v>28</v>
      </c>
      <c r="E6" s="211">
        <v>1</v>
      </c>
      <c r="F6" s="234"/>
      <c r="G6" s="255"/>
    </row>
    <row r="7" spans="1:7" ht="12" customHeight="1" x14ac:dyDescent="0.25">
      <c r="A7" s="412"/>
      <c r="B7" s="205"/>
      <c r="C7" s="413"/>
      <c r="D7" s="414"/>
      <c r="E7" s="415"/>
      <c r="F7" s="416"/>
      <c r="G7" s="417"/>
    </row>
    <row r="8" spans="1:7" ht="24" x14ac:dyDescent="0.25">
      <c r="A8" s="248" t="s">
        <v>967</v>
      </c>
      <c r="B8" s="210" t="s">
        <v>2171</v>
      </c>
      <c r="C8" s="113" t="s">
        <v>782</v>
      </c>
      <c r="D8" s="210" t="s">
        <v>155</v>
      </c>
      <c r="E8" s="211">
        <f>180*2</f>
        <v>360</v>
      </c>
      <c r="F8" s="234"/>
      <c r="G8" s="255"/>
    </row>
    <row r="9" spans="1:7" ht="12" customHeight="1" x14ac:dyDescent="0.25">
      <c r="A9" s="412"/>
      <c r="B9" s="205"/>
      <c r="C9" s="413"/>
      <c r="D9" s="414"/>
      <c r="E9" s="415"/>
      <c r="F9" s="416"/>
      <c r="G9" s="417"/>
    </row>
    <row r="10" spans="1:7" ht="12" customHeight="1" x14ac:dyDescent="0.25">
      <c r="A10" s="248"/>
      <c r="B10" s="229"/>
      <c r="C10" s="4"/>
      <c r="D10" s="229"/>
      <c r="E10" s="211"/>
      <c r="F10" s="234"/>
      <c r="G10" s="232"/>
    </row>
    <row r="11" spans="1:7" ht="12" customHeight="1" x14ac:dyDescent="0.25">
      <c r="A11" s="412"/>
      <c r="B11" s="205"/>
      <c r="C11" s="413"/>
      <c r="D11" s="414"/>
      <c r="E11" s="415"/>
      <c r="F11" s="416"/>
      <c r="G11" s="417"/>
    </row>
    <row r="12" spans="1:7" ht="12" customHeight="1" x14ac:dyDescent="0.25">
      <c r="A12" s="248"/>
      <c r="B12" s="207"/>
      <c r="C12" s="19"/>
      <c r="D12" s="229"/>
      <c r="E12" s="186"/>
      <c r="F12" s="320"/>
      <c r="G12" s="319"/>
    </row>
    <row r="13" spans="1:7" ht="12" customHeight="1" x14ac:dyDescent="0.25">
      <c r="A13" s="412"/>
      <c r="B13" s="205"/>
      <c r="C13" s="413"/>
      <c r="D13" s="414"/>
      <c r="E13" s="415"/>
      <c r="F13" s="416"/>
      <c r="G13" s="417"/>
    </row>
    <row r="14" spans="1:7" ht="12" customHeight="1" x14ac:dyDescent="0.25">
      <c r="A14" s="248"/>
      <c r="B14" s="207"/>
      <c r="C14" s="19"/>
      <c r="D14" s="229"/>
      <c r="E14" s="186"/>
      <c r="F14" s="320"/>
      <c r="G14" s="319"/>
    </row>
    <row r="15" spans="1:7" ht="12" customHeight="1" x14ac:dyDescent="0.25">
      <c r="A15" s="412"/>
      <c r="B15" s="205"/>
      <c r="C15" s="413"/>
      <c r="D15" s="414"/>
      <c r="E15" s="415"/>
      <c r="F15" s="416"/>
      <c r="G15" s="417"/>
    </row>
    <row r="16" spans="1:7" ht="12" customHeight="1" x14ac:dyDescent="0.25">
      <c r="A16" s="248"/>
      <c r="B16" s="207"/>
      <c r="C16" s="19"/>
      <c r="D16" s="229"/>
      <c r="E16" s="186"/>
      <c r="F16" s="320"/>
      <c r="G16" s="319"/>
    </row>
    <row r="17" spans="1:7" ht="12" customHeight="1" x14ac:dyDescent="0.25">
      <c r="A17" s="412"/>
      <c r="B17" s="205"/>
      <c r="C17" s="413"/>
      <c r="D17" s="414"/>
      <c r="E17" s="415"/>
      <c r="F17" s="416"/>
      <c r="G17" s="417"/>
    </row>
    <row r="18" spans="1:7" ht="12" customHeight="1" x14ac:dyDescent="0.25">
      <c r="A18" s="248"/>
      <c r="B18" s="207"/>
      <c r="C18" s="19"/>
      <c r="D18" s="229"/>
      <c r="E18" s="186"/>
      <c r="F18" s="320"/>
      <c r="G18" s="319"/>
    </row>
    <row r="19" spans="1:7" ht="12" customHeight="1" x14ac:dyDescent="0.25">
      <c r="A19" s="412"/>
      <c r="B19" s="205"/>
      <c r="C19" s="413"/>
      <c r="D19" s="414"/>
      <c r="E19" s="415"/>
      <c r="F19" s="416"/>
      <c r="G19" s="417"/>
    </row>
    <row r="20" spans="1:7" ht="12" customHeight="1" x14ac:dyDescent="0.25">
      <c r="A20" s="248"/>
      <c r="B20" s="207"/>
      <c r="C20" s="19"/>
      <c r="D20" s="229"/>
      <c r="E20" s="186"/>
      <c r="F20" s="320"/>
      <c r="G20" s="319"/>
    </row>
    <row r="21" spans="1:7" ht="12" customHeight="1" x14ac:dyDescent="0.25">
      <c r="A21" s="412"/>
      <c r="B21" s="205"/>
      <c r="C21" s="413"/>
      <c r="D21" s="414"/>
      <c r="E21" s="415"/>
      <c r="F21" s="416"/>
      <c r="G21" s="417"/>
    </row>
    <row r="22" spans="1:7" ht="12" customHeight="1" x14ac:dyDescent="0.25">
      <c r="A22" s="248"/>
      <c r="B22" s="207"/>
      <c r="C22" s="19"/>
      <c r="D22" s="229"/>
      <c r="E22" s="186"/>
      <c r="F22" s="320"/>
      <c r="G22" s="319"/>
    </row>
    <row r="23" spans="1:7" ht="12" customHeight="1" x14ac:dyDescent="0.25">
      <c r="A23" s="412"/>
      <c r="B23" s="205"/>
      <c r="C23" s="413"/>
      <c r="D23" s="414"/>
      <c r="E23" s="415"/>
      <c r="F23" s="416"/>
      <c r="G23" s="417"/>
    </row>
    <row r="24" spans="1:7" ht="12" customHeight="1" x14ac:dyDescent="0.25">
      <c r="A24" s="248"/>
      <c r="B24" s="207"/>
      <c r="C24" s="19"/>
      <c r="D24" s="229"/>
      <c r="E24" s="186"/>
      <c r="F24" s="320"/>
      <c r="G24" s="319"/>
    </row>
    <row r="25" spans="1:7" ht="12" customHeight="1" x14ac:dyDescent="0.25">
      <c r="A25" s="412"/>
      <c r="B25" s="205"/>
      <c r="C25" s="413"/>
      <c r="D25" s="414"/>
      <c r="E25" s="415"/>
      <c r="F25" s="416"/>
      <c r="G25" s="417"/>
    </row>
    <row r="26" spans="1:7" ht="12" customHeight="1" x14ac:dyDescent="0.25">
      <c r="A26" s="248"/>
      <c r="B26" s="207"/>
      <c r="C26" s="19"/>
      <c r="D26" s="229"/>
      <c r="E26" s="186"/>
      <c r="F26" s="320"/>
      <c r="G26" s="319"/>
    </row>
    <row r="27" spans="1:7" ht="12" customHeight="1" x14ac:dyDescent="0.25">
      <c r="A27" s="412"/>
      <c r="B27" s="205"/>
      <c r="C27" s="413"/>
      <c r="D27" s="414"/>
      <c r="E27" s="415"/>
      <c r="F27" s="416"/>
      <c r="G27" s="417"/>
    </row>
    <row r="28" spans="1:7" ht="12" customHeight="1" x14ac:dyDescent="0.25">
      <c r="A28" s="248"/>
      <c r="B28" s="207"/>
      <c r="C28" s="19"/>
      <c r="D28" s="229"/>
      <c r="E28" s="186"/>
      <c r="F28" s="320"/>
      <c r="G28" s="319"/>
    </row>
    <row r="29" spans="1:7" ht="12" customHeight="1" x14ac:dyDescent="0.25">
      <c r="A29" s="412"/>
      <c r="B29" s="205"/>
      <c r="C29" s="413"/>
      <c r="D29" s="414"/>
      <c r="E29" s="415"/>
      <c r="F29" s="416"/>
      <c r="G29" s="417"/>
    </row>
    <row r="30" spans="1:7" ht="12" customHeight="1" x14ac:dyDescent="0.25">
      <c r="A30" s="248"/>
      <c r="B30" s="207"/>
      <c r="C30" s="19"/>
      <c r="D30" s="229"/>
      <c r="E30" s="186"/>
      <c r="F30" s="320"/>
      <c r="G30" s="319"/>
    </row>
    <row r="31" spans="1:7" ht="12" customHeight="1" x14ac:dyDescent="0.25">
      <c r="A31" s="412"/>
      <c r="B31" s="205"/>
      <c r="C31" s="413"/>
      <c r="D31" s="414"/>
      <c r="E31" s="415"/>
      <c r="F31" s="416"/>
      <c r="G31" s="417"/>
    </row>
    <row r="32" spans="1:7" ht="12" customHeight="1" x14ac:dyDescent="0.25">
      <c r="A32" s="248"/>
      <c r="B32" s="207"/>
      <c r="C32" s="19"/>
      <c r="D32" s="229"/>
      <c r="E32" s="186"/>
      <c r="F32" s="320"/>
      <c r="G32" s="319"/>
    </row>
    <row r="33" spans="1:7" ht="12" customHeight="1" x14ac:dyDescent="0.25">
      <c r="A33" s="412"/>
      <c r="B33" s="205"/>
      <c r="C33" s="413"/>
      <c r="D33" s="414"/>
      <c r="E33" s="415"/>
      <c r="F33" s="416"/>
      <c r="G33" s="417"/>
    </row>
    <row r="34" spans="1:7" ht="12" customHeight="1" x14ac:dyDescent="0.25">
      <c r="A34" s="248"/>
      <c r="B34" s="207"/>
      <c r="C34" s="19"/>
      <c r="D34" s="229"/>
      <c r="E34" s="186"/>
      <c r="F34" s="320"/>
      <c r="G34" s="319"/>
    </row>
    <row r="35" spans="1:7" ht="12" customHeight="1" x14ac:dyDescent="0.25">
      <c r="A35" s="412"/>
      <c r="B35" s="205"/>
      <c r="C35" s="413"/>
      <c r="D35" s="414"/>
      <c r="E35" s="415"/>
      <c r="F35" s="416"/>
      <c r="G35" s="417"/>
    </row>
    <row r="36" spans="1:7" ht="12" customHeight="1" x14ac:dyDescent="0.25">
      <c r="A36" s="248"/>
      <c r="B36" s="207"/>
      <c r="C36" s="19"/>
      <c r="D36" s="229"/>
      <c r="E36" s="186"/>
      <c r="F36" s="320"/>
      <c r="G36" s="319"/>
    </row>
    <row r="37" spans="1:7" ht="12" customHeight="1" x14ac:dyDescent="0.25">
      <c r="A37" s="412"/>
      <c r="B37" s="205"/>
      <c r="C37" s="413"/>
      <c r="D37" s="414"/>
      <c r="E37" s="415"/>
      <c r="F37" s="416"/>
      <c r="G37" s="417"/>
    </row>
    <row r="38" spans="1:7" ht="12" customHeight="1" x14ac:dyDescent="0.25">
      <c r="A38" s="248"/>
      <c r="B38" s="207"/>
      <c r="C38" s="19"/>
      <c r="D38" s="229"/>
      <c r="E38" s="186"/>
      <c r="F38" s="320"/>
      <c r="G38" s="319"/>
    </row>
    <row r="39" spans="1:7" ht="12" customHeight="1" x14ac:dyDescent="0.25">
      <c r="A39" s="412"/>
      <c r="B39" s="205"/>
      <c r="C39" s="413"/>
      <c r="D39" s="414"/>
      <c r="E39" s="415"/>
      <c r="F39" s="416"/>
      <c r="G39" s="417"/>
    </row>
    <row r="40" spans="1:7" ht="12" customHeight="1" x14ac:dyDescent="0.25">
      <c r="A40" s="248"/>
      <c r="B40" s="207"/>
      <c r="C40" s="19"/>
      <c r="D40" s="229"/>
      <c r="E40" s="186"/>
      <c r="F40" s="320"/>
      <c r="G40" s="319"/>
    </row>
    <row r="41" spans="1:7" ht="12" customHeight="1" x14ac:dyDescent="0.25">
      <c r="A41" s="412"/>
      <c r="B41" s="205"/>
      <c r="C41" s="413"/>
      <c r="D41" s="414"/>
      <c r="E41" s="415"/>
      <c r="F41" s="416"/>
      <c r="G41" s="417"/>
    </row>
    <row r="42" spans="1:7" ht="12" customHeight="1" x14ac:dyDescent="0.25">
      <c r="A42" s="248"/>
      <c r="B42" s="207"/>
      <c r="C42" s="19"/>
      <c r="D42" s="229"/>
      <c r="E42" s="186"/>
      <c r="F42" s="320"/>
      <c r="G42" s="319"/>
    </row>
    <row r="43" spans="1:7" ht="12" customHeight="1" x14ac:dyDescent="0.25">
      <c r="A43" s="412"/>
      <c r="B43" s="205"/>
      <c r="C43" s="413"/>
      <c r="D43" s="414"/>
      <c r="E43" s="415"/>
      <c r="F43" s="416"/>
      <c r="G43" s="417"/>
    </row>
    <row r="44" spans="1:7" ht="12" customHeight="1" x14ac:dyDescent="0.25">
      <c r="A44" s="248"/>
      <c r="B44" s="229"/>
      <c r="C44" s="3"/>
      <c r="D44" s="229"/>
      <c r="E44" s="211"/>
      <c r="F44" s="234"/>
      <c r="G44" s="232"/>
    </row>
    <row r="45" spans="1:7" ht="12" customHeight="1" x14ac:dyDescent="0.25">
      <c r="A45" s="412"/>
      <c r="B45" s="205"/>
      <c r="C45" s="413"/>
      <c r="D45" s="414"/>
      <c r="E45" s="415"/>
      <c r="F45" s="416"/>
      <c r="G45" s="417"/>
    </row>
    <row r="46" spans="1:7" ht="12" customHeight="1" x14ac:dyDescent="0.25">
      <c r="A46" s="248"/>
      <c r="B46" s="221"/>
      <c r="C46" s="9"/>
      <c r="D46" s="229"/>
      <c r="E46" s="211"/>
      <c r="F46" s="234"/>
      <c r="G46" s="232"/>
    </row>
    <row r="47" spans="1:7" ht="12" customHeight="1" x14ac:dyDescent="0.25">
      <c r="A47" s="412"/>
      <c r="B47" s="205"/>
      <c r="C47" s="413"/>
      <c r="D47" s="414"/>
      <c r="E47" s="415"/>
      <c r="F47" s="416"/>
      <c r="G47" s="417"/>
    </row>
    <row r="48" spans="1:7" ht="28.5" customHeight="1" x14ac:dyDescent="0.25">
      <c r="A48" s="527" t="s">
        <v>614</v>
      </c>
      <c r="B48" s="527"/>
      <c r="C48" s="527"/>
      <c r="D48" s="527"/>
      <c r="E48" s="527"/>
      <c r="F48" s="527"/>
      <c r="G48" s="328"/>
    </row>
    <row r="49" spans="3:3" ht="15" customHeight="1" x14ac:dyDescent="0.25">
      <c r="C49" s="39"/>
    </row>
    <row r="50" spans="3:3" ht="15" customHeight="1" x14ac:dyDescent="0.25">
      <c r="C50" s="39"/>
    </row>
    <row r="51" spans="3:3" ht="15" customHeight="1" x14ac:dyDescent="0.25">
      <c r="C51" s="39"/>
    </row>
    <row r="52" spans="3:3" ht="15" customHeight="1" x14ac:dyDescent="0.25">
      <c r="C52" s="39"/>
    </row>
    <row r="53" spans="3:3" ht="15" customHeight="1" x14ac:dyDescent="0.25">
      <c r="C53" s="39"/>
    </row>
    <row r="54" spans="3:3" ht="15" customHeight="1" x14ac:dyDescent="0.25">
      <c r="C54" s="39"/>
    </row>
    <row r="55" spans="3:3" ht="15" customHeight="1" x14ac:dyDescent="0.25">
      <c r="C55" s="39"/>
    </row>
    <row r="56" spans="3:3" ht="15" customHeight="1" x14ac:dyDescent="0.25">
      <c r="C56" s="39"/>
    </row>
    <row r="57" spans="3:3" ht="15" customHeight="1" x14ac:dyDescent="0.25">
      <c r="C57" s="39"/>
    </row>
    <row r="58" spans="3:3" ht="15" customHeight="1" x14ac:dyDescent="0.25">
      <c r="C58" s="39"/>
    </row>
    <row r="59" spans="3:3" ht="15" customHeight="1" x14ac:dyDescent="0.25">
      <c r="C59" s="39"/>
    </row>
    <row r="60" spans="3:3" ht="15" customHeight="1" x14ac:dyDescent="0.25">
      <c r="C60" s="39"/>
    </row>
    <row r="61" spans="3:3" ht="15" customHeight="1" x14ac:dyDescent="0.25">
      <c r="C61" s="39"/>
    </row>
    <row r="62" spans="3:3" ht="15" customHeight="1" x14ac:dyDescent="0.25">
      <c r="C62" s="39"/>
    </row>
    <row r="63" spans="3:3" ht="15" customHeight="1" x14ac:dyDescent="0.25">
      <c r="C63" s="39"/>
    </row>
    <row r="64" spans="3:3" ht="15" customHeight="1" x14ac:dyDescent="0.25">
      <c r="C64" s="39"/>
    </row>
    <row r="65" spans="3:3" ht="15" customHeight="1" x14ac:dyDescent="0.25">
      <c r="C65" s="39"/>
    </row>
    <row r="66" spans="3:3" ht="15" customHeight="1" x14ac:dyDescent="0.25">
      <c r="C66" s="39"/>
    </row>
    <row r="67" spans="3:3" ht="15" customHeight="1" x14ac:dyDescent="0.25">
      <c r="C67" s="39"/>
    </row>
    <row r="68" spans="3:3" ht="15" customHeight="1" x14ac:dyDescent="0.25">
      <c r="C68" s="39"/>
    </row>
    <row r="69" spans="3:3" ht="15" customHeight="1" x14ac:dyDescent="0.25">
      <c r="C69" s="39"/>
    </row>
    <row r="70" spans="3:3" ht="15" customHeight="1" x14ac:dyDescent="0.25">
      <c r="C70" s="39"/>
    </row>
    <row r="71" spans="3:3" ht="15" customHeight="1" x14ac:dyDescent="0.25">
      <c r="C71" s="39"/>
    </row>
    <row r="72" spans="3:3" ht="15" customHeight="1" x14ac:dyDescent="0.25">
      <c r="C72" s="39"/>
    </row>
    <row r="73" spans="3:3" ht="15" customHeight="1" x14ac:dyDescent="0.25">
      <c r="C73" s="39"/>
    </row>
    <row r="74" spans="3:3" ht="15" customHeight="1" x14ac:dyDescent="0.25">
      <c r="C74" s="39"/>
    </row>
    <row r="75" spans="3:3" ht="15" customHeight="1" x14ac:dyDescent="0.25">
      <c r="C75" s="39"/>
    </row>
    <row r="76" spans="3:3" ht="15" customHeight="1" x14ac:dyDescent="0.25">
      <c r="C76" s="39"/>
    </row>
    <row r="77" spans="3:3" ht="15" customHeight="1" x14ac:dyDescent="0.25">
      <c r="C77" s="39"/>
    </row>
    <row r="78" spans="3:3" ht="15" customHeight="1" x14ac:dyDescent="0.25">
      <c r="C78" s="39"/>
    </row>
    <row r="79" spans="3:3" ht="15" customHeight="1" x14ac:dyDescent="0.25">
      <c r="C79" s="39"/>
    </row>
    <row r="80" spans="3:3" ht="15" customHeight="1" x14ac:dyDescent="0.25">
      <c r="C80" s="39"/>
    </row>
    <row r="81" spans="3:3" ht="15" customHeight="1" x14ac:dyDescent="0.25">
      <c r="C81" s="39"/>
    </row>
    <row r="82" spans="3:3" ht="15" customHeight="1" x14ac:dyDescent="0.25">
      <c r="C82" s="39"/>
    </row>
    <row r="83" spans="3:3" ht="15" customHeight="1" x14ac:dyDescent="0.25">
      <c r="C83" s="39"/>
    </row>
    <row r="84" spans="3:3" ht="15" customHeight="1" x14ac:dyDescent="0.25">
      <c r="C84" s="39"/>
    </row>
    <row r="85" spans="3:3" ht="15" customHeight="1" x14ac:dyDescent="0.25">
      <c r="C85" s="39"/>
    </row>
    <row r="86" spans="3:3" ht="15" customHeight="1" x14ac:dyDescent="0.25">
      <c r="C86" s="39"/>
    </row>
    <row r="87" spans="3:3" ht="15" customHeight="1" x14ac:dyDescent="0.25">
      <c r="C87" s="39"/>
    </row>
    <row r="88" spans="3:3" ht="15" customHeight="1" x14ac:dyDescent="0.25">
      <c r="C88" s="39"/>
    </row>
    <row r="89" spans="3:3" ht="15" customHeight="1" x14ac:dyDescent="0.25">
      <c r="C89" s="39"/>
    </row>
    <row r="90" spans="3:3" ht="15" customHeight="1" x14ac:dyDescent="0.25">
      <c r="C90" s="39"/>
    </row>
    <row r="91" spans="3:3" ht="15" customHeight="1" x14ac:dyDescent="0.25">
      <c r="C91" s="39"/>
    </row>
    <row r="92" spans="3:3" ht="15" customHeight="1" x14ac:dyDescent="0.25">
      <c r="C92" s="39"/>
    </row>
    <row r="93" spans="3:3" ht="15" customHeight="1" x14ac:dyDescent="0.25">
      <c r="C93" s="39"/>
    </row>
    <row r="94" spans="3:3" ht="15" customHeight="1" x14ac:dyDescent="0.25">
      <c r="C94" s="39"/>
    </row>
    <row r="95" spans="3:3" ht="15" customHeight="1" x14ac:dyDescent="0.25">
      <c r="C95" s="39"/>
    </row>
    <row r="96" spans="3:3" ht="15" customHeight="1" x14ac:dyDescent="0.25">
      <c r="C96" s="39"/>
    </row>
    <row r="97" spans="3:3" ht="15" customHeight="1" x14ac:dyDescent="0.25">
      <c r="C97" s="39"/>
    </row>
    <row r="98" spans="3:3" ht="15" customHeight="1" x14ac:dyDescent="0.25">
      <c r="C98" s="39"/>
    </row>
    <row r="99" spans="3:3" ht="15" customHeight="1" x14ac:dyDescent="0.25">
      <c r="C99" s="39"/>
    </row>
    <row r="100" spans="3:3" ht="15" customHeight="1" x14ac:dyDescent="0.25">
      <c r="C100" s="39"/>
    </row>
    <row r="101" spans="3:3" ht="15" customHeight="1" x14ac:dyDescent="0.25">
      <c r="C101" s="39"/>
    </row>
    <row r="102" spans="3:3" ht="15" customHeight="1" x14ac:dyDescent="0.25">
      <c r="C102" s="39"/>
    </row>
    <row r="103" spans="3:3" ht="15" customHeight="1" x14ac:dyDescent="0.25">
      <c r="C103" s="39"/>
    </row>
    <row r="104" spans="3:3" ht="15" customHeight="1" x14ac:dyDescent="0.25">
      <c r="C104" s="39"/>
    </row>
    <row r="105" spans="3:3" ht="15" customHeight="1" x14ac:dyDescent="0.25">
      <c r="C105" s="39"/>
    </row>
    <row r="106" spans="3:3" ht="15" customHeight="1" x14ac:dyDescent="0.25">
      <c r="C106" s="39"/>
    </row>
    <row r="107" spans="3:3" ht="15" customHeight="1" x14ac:dyDescent="0.25">
      <c r="C107" s="39"/>
    </row>
    <row r="108" spans="3:3" ht="15" customHeight="1" x14ac:dyDescent="0.25">
      <c r="C108" s="39"/>
    </row>
    <row r="109" spans="3:3" ht="15" customHeight="1" x14ac:dyDescent="0.25">
      <c r="C109" s="39"/>
    </row>
    <row r="110" spans="3:3" ht="15" customHeight="1" x14ac:dyDescent="0.25">
      <c r="C110" s="39"/>
    </row>
    <row r="111" spans="3:3" ht="15" customHeight="1" x14ac:dyDescent="0.25">
      <c r="C111" s="39"/>
    </row>
    <row r="112" spans="3:3" ht="15" customHeight="1" x14ac:dyDescent="0.25">
      <c r="C112" s="39"/>
    </row>
    <row r="113" spans="3:3" ht="15" customHeight="1" x14ac:dyDescent="0.25">
      <c r="C113" s="39"/>
    </row>
    <row r="114" spans="3:3" ht="15" customHeight="1" x14ac:dyDescent="0.25">
      <c r="C114" s="39"/>
    </row>
    <row r="115" spans="3:3" ht="15" customHeight="1" x14ac:dyDescent="0.25">
      <c r="C115" s="39"/>
    </row>
    <row r="116" spans="3:3" ht="15" customHeight="1" x14ac:dyDescent="0.25">
      <c r="C116" s="39"/>
    </row>
    <row r="117" spans="3:3" ht="15" customHeight="1" x14ac:dyDescent="0.25">
      <c r="C117" s="39"/>
    </row>
    <row r="118" spans="3:3" ht="15" customHeight="1" x14ac:dyDescent="0.25">
      <c r="C118" s="39"/>
    </row>
    <row r="119" spans="3:3" ht="15" customHeight="1" x14ac:dyDescent="0.25">
      <c r="C119" s="39"/>
    </row>
    <row r="120" spans="3:3" ht="15" customHeight="1" x14ac:dyDescent="0.25">
      <c r="C120" s="39"/>
    </row>
    <row r="121" spans="3:3" ht="15" customHeight="1" x14ac:dyDescent="0.25">
      <c r="C121" s="39"/>
    </row>
    <row r="122" spans="3:3" ht="15" customHeight="1" x14ac:dyDescent="0.25">
      <c r="C122" s="39"/>
    </row>
    <row r="123" spans="3:3" ht="15" customHeight="1" x14ac:dyDescent="0.25">
      <c r="C123" s="39"/>
    </row>
    <row r="124" spans="3:3" ht="15" customHeight="1" x14ac:dyDescent="0.25">
      <c r="C124" s="39"/>
    </row>
    <row r="125" spans="3:3" ht="15" customHeight="1" x14ac:dyDescent="0.25">
      <c r="C125" s="39"/>
    </row>
    <row r="126" spans="3:3" ht="15" customHeight="1" x14ac:dyDescent="0.25">
      <c r="C126" s="39"/>
    </row>
    <row r="127" spans="3:3" ht="15" customHeight="1" x14ac:dyDescent="0.25">
      <c r="C127" s="39"/>
    </row>
    <row r="128" spans="3:3" ht="15" customHeight="1" x14ac:dyDescent="0.25">
      <c r="C128" s="39"/>
    </row>
    <row r="129" spans="3:3" ht="15" customHeight="1" x14ac:dyDescent="0.25">
      <c r="C129" s="39"/>
    </row>
    <row r="130" spans="3:3" ht="15" customHeight="1" x14ac:dyDescent="0.25">
      <c r="C130" s="39"/>
    </row>
    <row r="131" spans="3:3" ht="15" customHeight="1" x14ac:dyDescent="0.25">
      <c r="C131" s="39"/>
    </row>
    <row r="132" spans="3:3" ht="15" customHeight="1" x14ac:dyDescent="0.25">
      <c r="C132" s="39"/>
    </row>
    <row r="133" spans="3:3" ht="15" customHeight="1" x14ac:dyDescent="0.25">
      <c r="C133" s="39"/>
    </row>
    <row r="134" spans="3:3" ht="15" customHeight="1" x14ac:dyDescent="0.25">
      <c r="C134" s="39"/>
    </row>
    <row r="135" spans="3:3" ht="15" customHeight="1" x14ac:dyDescent="0.25">
      <c r="C135" s="39"/>
    </row>
    <row r="136" spans="3:3" ht="15" customHeight="1" x14ac:dyDescent="0.25">
      <c r="C136" s="39"/>
    </row>
    <row r="137" spans="3:3" ht="15" customHeight="1" x14ac:dyDescent="0.25">
      <c r="C137" s="39"/>
    </row>
    <row r="138" spans="3:3" ht="15" customHeight="1" x14ac:dyDescent="0.25">
      <c r="C138" s="39"/>
    </row>
    <row r="139" spans="3:3" ht="15" customHeight="1" x14ac:dyDescent="0.25">
      <c r="C139" s="39"/>
    </row>
    <row r="140" spans="3:3" ht="15" customHeight="1" x14ac:dyDescent="0.25">
      <c r="C140" s="39"/>
    </row>
    <row r="141" spans="3:3" ht="15" customHeight="1" x14ac:dyDescent="0.25">
      <c r="C141" s="39"/>
    </row>
    <row r="142" spans="3:3" ht="15" customHeight="1" x14ac:dyDescent="0.25">
      <c r="C142" s="39"/>
    </row>
    <row r="143" spans="3:3" ht="15" customHeight="1" x14ac:dyDescent="0.25">
      <c r="C143" s="39"/>
    </row>
    <row r="144" spans="3:3" ht="15" customHeight="1" x14ac:dyDescent="0.25">
      <c r="C144" s="39"/>
    </row>
    <row r="145" spans="3:3" ht="15" customHeight="1" x14ac:dyDescent="0.25">
      <c r="C145" s="39"/>
    </row>
    <row r="146" spans="3:3" ht="15" customHeight="1" x14ac:dyDescent="0.25">
      <c r="C146" s="39"/>
    </row>
    <row r="147" spans="3:3" ht="15" customHeight="1" x14ac:dyDescent="0.25">
      <c r="C147" s="39"/>
    </row>
    <row r="148" spans="3:3" ht="15" customHeight="1" x14ac:dyDescent="0.25">
      <c r="C148" s="39"/>
    </row>
    <row r="149" spans="3:3" ht="15" customHeight="1" x14ac:dyDescent="0.25">
      <c r="C149" s="39"/>
    </row>
    <row r="150" spans="3:3" ht="15" customHeight="1" x14ac:dyDescent="0.25">
      <c r="C150" s="39"/>
    </row>
    <row r="151" spans="3:3" ht="15" customHeight="1" x14ac:dyDescent="0.25">
      <c r="C151" s="39"/>
    </row>
    <row r="152" spans="3:3" ht="15" customHeight="1" x14ac:dyDescent="0.25">
      <c r="C152" s="39"/>
    </row>
    <row r="153" spans="3:3" ht="15" customHeight="1" x14ac:dyDescent="0.25">
      <c r="C153" s="39"/>
    </row>
    <row r="154" spans="3:3" ht="15" customHeight="1" x14ac:dyDescent="0.25">
      <c r="C154" s="39"/>
    </row>
    <row r="155" spans="3:3" ht="15" customHeight="1" x14ac:dyDescent="0.25">
      <c r="C155" s="39"/>
    </row>
    <row r="156" spans="3:3" ht="15" customHeight="1" x14ac:dyDescent="0.25">
      <c r="C156" s="39"/>
    </row>
    <row r="157" spans="3:3" ht="15" customHeight="1" x14ac:dyDescent="0.25">
      <c r="C157" s="39"/>
    </row>
    <row r="158" spans="3:3" ht="15" customHeight="1" x14ac:dyDescent="0.25">
      <c r="C158" s="39"/>
    </row>
    <row r="159" spans="3:3" ht="15" customHeight="1" x14ac:dyDescent="0.25">
      <c r="C159" s="39"/>
    </row>
    <row r="160" spans="3:3" ht="15" customHeight="1" x14ac:dyDescent="0.25">
      <c r="C160" s="39"/>
    </row>
    <row r="161" spans="3:3" ht="15" customHeight="1" x14ac:dyDescent="0.25">
      <c r="C161" s="39"/>
    </row>
    <row r="162" spans="3:3" ht="15" customHeight="1" x14ac:dyDescent="0.25">
      <c r="C162" s="39"/>
    </row>
    <row r="163" spans="3:3" ht="15" customHeight="1" x14ac:dyDescent="0.25">
      <c r="C163" s="39"/>
    </row>
    <row r="164" spans="3:3" ht="15" customHeight="1" x14ac:dyDescent="0.25">
      <c r="C164" s="39"/>
    </row>
    <row r="165" spans="3:3" ht="15" customHeight="1" x14ac:dyDescent="0.25">
      <c r="C165" s="39"/>
    </row>
    <row r="166" spans="3:3" ht="15" customHeight="1" x14ac:dyDescent="0.25">
      <c r="C166" s="39"/>
    </row>
    <row r="167" spans="3:3" ht="15" customHeight="1" x14ac:dyDescent="0.25">
      <c r="C167" s="39"/>
    </row>
    <row r="168" spans="3:3" ht="15" customHeight="1" x14ac:dyDescent="0.25">
      <c r="C168" s="39"/>
    </row>
    <row r="169" spans="3:3" ht="15" customHeight="1" x14ac:dyDescent="0.25">
      <c r="C169" s="39"/>
    </row>
    <row r="170" spans="3:3" ht="15" customHeight="1" x14ac:dyDescent="0.25">
      <c r="C170" s="39"/>
    </row>
    <row r="171" spans="3:3" ht="15" customHeight="1" x14ac:dyDescent="0.25">
      <c r="C171" s="39"/>
    </row>
    <row r="172" spans="3:3" ht="15" customHeight="1" x14ac:dyDescent="0.25">
      <c r="C172" s="39"/>
    </row>
    <row r="173" spans="3:3" ht="15" customHeight="1" x14ac:dyDescent="0.25">
      <c r="C173" s="39"/>
    </row>
    <row r="174" spans="3:3" ht="15" customHeight="1" x14ac:dyDescent="0.25">
      <c r="C174" s="39"/>
    </row>
    <row r="175" spans="3:3" ht="15" customHeight="1" x14ac:dyDescent="0.25">
      <c r="C175" s="39"/>
    </row>
    <row r="176" spans="3:3" ht="15" customHeight="1" x14ac:dyDescent="0.25">
      <c r="C176" s="39"/>
    </row>
    <row r="177" spans="3:3" ht="15" customHeight="1" x14ac:dyDescent="0.25">
      <c r="C177" s="39"/>
    </row>
    <row r="178" spans="3:3" ht="15" customHeight="1" x14ac:dyDescent="0.25">
      <c r="C178" s="39"/>
    </row>
    <row r="179" spans="3:3" ht="15" customHeight="1" x14ac:dyDescent="0.25">
      <c r="C179" s="39"/>
    </row>
    <row r="180" spans="3:3" ht="15" customHeight="1" x14ac:dyDescent="0.25">
      <c r="C180" s="39"/>
    </row>
    <row r="181" spans="3:3" ht="15" customHeight="1" x14ac:dyDescent="0.25">
      <c r="C181" s="39"/>
    </row>
    <row r="182" spans="3:3" ht="15" customHeight="1" x14ac:dyDescent="0.25">
      <c r="C182" s="39"/>
    </row>
    <row r="183" spans="3:3" ht="15" customHeight="1" x14ac:dyDescent="0.25">
      <c r="C183" s="39"/>
    </row>
    <row r="184" spans="3:3" ht="15" customHeight="1" x14ac:dyDescent="0.25">
      <c r="C184" s="39"/>
    </row>
    <row r="185" spans="3:3" ht="15" customHeight="1" x14ac:dyDescent="0.25">
      <c r="C185" s="39"/>
    </row>
    <row r="186" spans="3:3" ht="15" customHeight="1" x14ac:dyDescent="0.25">
      <c r="C186" s="39"/>
    </row>
    <row r="187" spans="3:3" ht="15" customHeight="1" x14ac:dyDescent="0.25">
      <c r="C187" s="39"/>
    </row>
    <row r="188" spans="3:3" ht="15" customHeight="1" x14ac:dyDescent="0.25">
      <c r="C188" s="39"/>
    </row>
    <row r="189" spans="3:3" ht="15" customHeight="1" x14ac:dyDescent="0.25">
      <c r="C189" s="39"/>
    </row>
    <row r="190" spans="3:3" ht="15" customHeight="1" x14ac:dyDescent="0.25">
      <c r="C190" s="39"/>
    </row>
    <row r="191" spans="3:3" ht="15" customHeight="1" x14ac:dyDescent="0.25">
      <c r="C191" s="39"/>
    </row>
    <row r="192" spans="3:3" ht="15" customHeight="1" x14ac:dyDescent="0.25">
      <c r="C192" s="39"/>
    </row>
    <row r="193" spans="3:3" ht="15" customHeight="1" x14ac:dyDescent="0.25">
      <c r="C193" s="39"/>
    </row>
    <row r="194" spans="3:3" ht="15" customHeight="1" x14ac:dyDescent="0.25">
      <c r="C194" s="39"/>
    </row>
    <row r="195" spans="3:3" ht="15" customHeight="1" x14ac:dyDescent="0.25">
      <c r="C195" s="39"/>
    </row>
    <row r="196" spans="3:3" ht="15" customHeight="1" x14ac:dyDescent="0.25">
      <c r="C196" s="39"/>
    </row>
    <row r="197" spans="3:3" ht="15" customHeight="1" x14ac:dyDescent="0.25">
      <c r="C197" s="39"/>
    </row>
    <row r="198" spans="3:3" ht="15" customHeight="1" x14ac:dyDescent="0.25">
      <c r="C198" s="39"/>
    </row>
    <row r="199" spans="3:3" ht="15" customHeight="1" x14ac:dyDescent="0.25">
      <c r="C199" s="39"/>
    </row>
    <row r="200" spans="3:3" ht="15" customHeight="1" x14ac:dyDescent="0.25">
      <c r="C200" s="39"/>
    </row>
    <row r="201" spans="3:3" ht="15" customHeight="1" x14ac:dyDescent="0.25">
      <c r="C201" s="39"/>
    </row>
    <row r="202" spans="3:3" ht="15" customHeight="1" x14ac:dyDescent="0.25">
      <c r="C202" s="39"/>
    </row>
    <row r="203" spans="3:3" ht="15" customHeight="1" x14ac:dyDescent="0.25">
      <c r="C203" s="39"/>
    </row>
    <row r="204" spans="3:3" ht="15" customHeight="1" x14ac:dyDescent="0.25">
      <c r="C204" s="39"/>
    </row>
    <row r="205" spans="3:3" ht="15" customHeight="1" x14ac:dyDescent="0.25">
      <c r="C205" s="39"/>
    </row>
    <row r="206" spans="3:3" ht="15" customHeight="1" x14ac:dyDescent="0.25">
      <c r="C206" s="39"/>
    </row>
    <row r="207" spans="3:3" ht="15" customHeight="1" x14ac:dyDescent="0.25">
      <c r="C207" s="39"/>
    </row>
    <row r="208" spans="3:3" ht="15" customHeight="1" x14ac:dyDescent="0.25">
      <c r="C208" s="39"/>
    </row>
    <row r="209" spans="3:3" ht="15" customHeight="1" x14ac:dyDescent="0.25">
      <c r="C209" s="39"/>
    </row>
    <row r="210" spans="3:3" ht="15" customHeight="1" x14ac:dyDescent="0.25">
      <c r="C210" s="39"/>
    </row>
    <row r="211" spans="3:3" ht="15" customHeight="1" x14ac:dyDescent="0.25">
      <c r="C211" s="39"/>
    </row>
    <row r="212" spans="3:3" ht="15" customHeight="1" x14ac:dyDescent="0.25">
      <c r="C212" s="39"/>
    </row>
    <row r="213" spans="3:3" ht="15" customHeight="1" x14ac:dyDescent="0.25">
      <c r="C213" s="39"/>
    </row>
    <row r="214" spans="3:3" ht="15" customHeight="1" x14ac:dyDescent="0.25">
      <c r="C214" s="39"/>
    </row>
    <row r="215" spans="3:3" ht="15" customHeight="1" x14ac:dyDescent="0.25">
      <c r="C215" s="39"/>
    </row>
    <row r="216" spans="3:3" ht="15" customHeight="1" x14ac:dyDescent="0.25">
      <c r="C216" s="39"/>
    </row>
    <row r="217" spans="3:3" ht="15" customHeight="1" x14ac:dyDescent="0.25">
      <c r="C217" s="39"/>
    </row>
    <row r="218" spans="3:3" ht="15" customHeight="1" x14ac:dyDescent="0.25">
      <c r="C218" s="39"/>
    </row>
    <row r="219" spans="3:3" ht="15" customHeight="1" x14ac:dyDescent="0.25">
      <c r="C219" s="39"/>
    </row>
    <row r="220" spans="3:3" ht="15" customHeight="1" x14ac:dyDescent="0.25">
      <c r="C220" s="39"/>
    </row>
    <row r="221" spans="3:3" ht="15" customHeight="1" x14ac:dyDescent="0.25">
      <c r="C221" s="39"/>
    </row>
    <row r="222" spans="3:3" ht="15" customHeight="1" x14ac:dyDescent="0.25">
      <c r="C222" s="39"/>
    </row>
    <row r="223" spans="3:3" ht="15" customHeight="1" x14ac:dyDescent="0.25">
      <c r="C223" s="39"/>
    </row>
    <row r="224" spans="3:3" ht="15" customHeight="1" x14ac:dyDescent="0.25">
      <c r="C224" s="39"/>
    </row>
    <row r="225" spans="3:3" ht="15" customHeight="1" x14ac:dyDescent="0.25">
      <c r="C225" s="39"/>
    </row>
    <row r="226" spans="3:3" ht="15" customHeight="1" x14ac:dyDescent="0.25">
      <c r="C226" s="39"/>
    </row>
    <row r="227" spans="3:3" ht="15" customHeight="1" x14ac:dyDescent="0.25">
      <c r="C227" s="39"/>
    </row>
    <row r="228" spans="3:3" ht="15" customHeight="1" x14ac:dyDescent="0.25">
      <c r="C228" s="39"/>
    </row>
    <row r="229" spans="3:3" ht="15" customHeight="1" x14ac:dyDescent="0.25">
      <c r="C229" s="39"/>
    </row>
    <row r="230" spans="3:3" ht="15" customHeight="1" x14ac:dyDescent="0.25">
      <c r="C230" s="39"/>
    </row>
    <row r="231" spans="3:3" ht="15" customHeight="1" x14ac:dyDescent="0.25">
      <c r="C231" s="39"/>
    </row>
    <row r="232" spans="3:3" ht="15" customHeight="1" x14ac:dyDescent="0.25">
      <c r="C232" s="39"/>
    </row>
    <row r="233" spans="3:3" ht="15" customHeight="1" x14ac:dyDescent="0.25">
      <c r="C233" s="39"/>
    </row>
    <row r="234" spans="3:3" ht="15" customHeight="1" x14ac:dyDescent="0.25">
      <c r="C234" s="39"/>
    </row>
    <row r="235" spans="3:3" ht="15" customHeight="1" x14ac:dyDescent="0.25">
      <c r="C235" s="39"/>
    </row>
    <row r="236" spans="3:3" ht="15" customHeight="1" x14ac:dyDescent="0.25">
      <c r="C236" s="39"/>
    </row>
    <row r="237" spans="3:3" ht="15" customHeight="1" x14ac:dyDescent="0.25">
      <c r="C237" s="39"/>
    </row>
    <row r="238" spans="3:3" ht="15" customHeight="1" x14ac:dyDescent="0.25">
      <c r="C238" s="39"/>
    </row>
    <row r="239" spans="3:3" ht="15" customHeight="1" x14ac:dyDescent="0.25">
      <c r="C239" s="39"/>
    </row>
    <row r="240" spans="3:3" ht="15" customHeight="1" x14ac:dyDescent="0.25">
      <c r="C240" s="39"/>
    </row>
    <row r="241" spans="3:3" ht="15" customHeight="1" x14ac:dyDescent="0.25">
      <c r="C241" s="39"/>
    </row>
    <row r="242" spans="3:3" ht="15" customHeight="1" x14ac:dyDescent="0.25">
      <c r="C242" s="39"/>
    </row>
    <row r="243" spans="3:3" ht="15" customHeight="1" x14ac:dyDescent="0.25">
      <c r="C243" s="39"/>
    </row>
    <row r="244" spans="3:3" ht="15" customHeight="1" x14ac:dyDescent="0.25">
      <c r="C244" s="39"/>
    </row>
    <row r="245" spans="3:3" ht="15" customHeight="1" x14ac:dyDescent="0.25">
      <c r="C245" s="39"/>
    </row>
    <row r="246" spans="3:3" ht="15" customHeight="1" x14ac:dyDescent="0.25">
      <c r="C246" s="39"/>
    </row>
    <row r="247" spans="3:3" x14ac:dyDescent="0.25">
      <c r="C247" s="39"/>
    </row>
    <row r="248" spans="3:3" x14ac:dyDescent="0.25">
      <c r="C248" s="39"/>
    </row>
    <row r="249" spans="3:3" x14ac:dyDescent="0.25">
      <c r="C249" s="39"/>
    </row>
    <row r="250" spans="3:3" x14ac:dyDescent="0.25">
      <c r="C250" s="39"/>
    </row>
    <row r="251" spans="3:3" x14ac:dyDescent="0.25">
      <c r="C251" s="39"/>
    </row>
    <row r="252" spans="3:3" x14ac:dyDescent="0.25">
      <c r="C252" s="39"/>
    </row>
    <row r="253" spans="3:3" x14ac:dyDescent="0.25">
      <c r="C253" s="39"/>
    </row>
    <row r="254" spans="3:3" x14ac:dyDescent="0.25">
      <c r="C254" s="39"/>
    </row>
    <row r="255" spans="3:3" x14ac:dyDescent="0.25">
      <c r="C255" s="39"/>
    </row>
    <row r="256" spans="3:3" x14ac:dyDescent="0.25">
      <c r="C256" s="39"/>
    </row>
    <row r="257" spans="3:3" x14ac:dyDescent="0.25">
      <c r="C257" s="39"/>
    </row>
    <row r="258" spans="3:3" x14ac:dyDescent="0.25">
      <c r="C258" s="39"/>
    </row>
    <row r="259" spans="3:3" x14ac:dyDescent="0.25">
      <c r="C259" s="39"/>
    </row>
    <row r="260" spans="3:3" x14ac:dyDescent="0.25">
      <c r="C260" s="39"/>
    </row>
    <row r="261" spans="3:3" x14ac:dyDescent="0.25">
      <c r="C261" s="39"/>
    </row>
    <row r="262" spans="3:3" x14ac:dyDescent="0.25">
      <c r="C262" s="39"/>
    </row>
    <row r="263" spans="3:3" x14ac:dyDescent="0.25">
      <c r="C263" s="39"/>
    </row>
    <row r="264" spans="3:3" x14ac:dyDescent="0.25">
      <c r="C264" s="39"/>
    </row>
    <row r="265" spans="3:3" x14ac:dyDescent="0.25">
      <c r="C265" s="39"/>
    </row>
    <row r="266" spans="3:3" x14ac:dyDescent="0.25">
      <c r="C266" s="39"/>
    </row>
    <row r="267" spans="3:3" x14ac:dyDescent="0.25">
      <c r="C267" s="39"/>
    </row>
    <row r="268" spans="3:3" x14ac:dyDescent="0.25">
      <c r="C268" s="39"/>
    </row>
    <row r="269" spans="3:3" x14ac:dyDescent="0.25">
      <c r="C269" s="39"/>
    </row>
    <row r="270" spans="3:3" x14ac:dyDescent="0.25">
      <c r="C270" s="39"/>
    </row>
    <row r="271" spans="3:3" x14ac:dyDescent="0.25">
      <c r="C271" s="39"/>
    </row>
    <row r="272" spans="3:3" x14ac:dyDescent="0.25">
      <c r="C272" s="39"/>
    </row>
    <row r="273" spans="3:3" x14ac:dyDescent="0.25">
      <c r="C273" s="39"/>
    </row>
    <row r="274" spans="3:3" x14ac:dyDescent="0.25">
      <c r="C274" s="39"/>
    </row>
    <row r="275" spans="3:3" x14ac:dyDescent="0.25">
      <c r="C275" s="39"/>
    </row>
    <row r="276" spans="3:3" x14ac:dyDescent="0.25">
      <c r="C276" s="39"/>
    </row>
    <row r="277" spans="3:3" x14ac:dyDescent="0.25">
      <c r="C277" s="39"/>
    </row>
    <row r="278" spans="3:3" x14ac:dyDescent="0.25">
      <c r="C278" s="39"/>
    </row>
    <row r="279" spans="3:3" x14ac:dyDescent="0.25">
      <c r="C279" s="39"/>
    </row>
    <row r="280" spans="3:3" x14ac:dyDescent="0.25">
      <c r="C280" s="39"/>
    </row>
    <row r="281" spans="3:3" x14ac:dyDescent="0.25">
      <c r="C281" s="39"/>
    </row>
    <row r="282" spans="3:3" x14ac:dyDescent="0.25">
      <c r="C282" s="39"/>
    </row>
    <row r="283" spans="3:3" x14ac:dyDescent="0.25">
      <c r="C283" s="39"/>
    </row>
    <row r="284" spans="3:3" x14ac:dyDescent="0.25">
      <c r="C284" s="39"/>
    </row>
    <row r="285" spans="3:3" x14ac:dyDescent="0.25">
      <c r="C285" s="39"/>
    </row>
    <row r="286" spans="3:3" x14ac:dyDescent="0.25">
      <c r="C286" s="39"/>
    </row>
    <row r="287" spans="3:3" x14ac:dyDescent="0.25">
      <c r="C287" s="39"/>
    </row>
    <row r="288" spans="3:3" x14ac:dyDescent="0.25">
      <c r="C288" s="39"/>
    </row>
    <row r="289" spans="3:3" x14ac:dyDescent="0.25">
      <c r="C289" s="39"/>
    </row>
    <row r="290" spans="3:3" x14ac:dyDescent="0.25">
      <c r="C290" s="39"/>
    </row>
    <row r="291" spans="3:3" x14ac:dyDescent="0.25">
      <c r="C291" s="39"/>
    </row>
    <row r="292" spans="3:3" x14ac:dyDescent="0.25">
      <c r="C292" s="39"/>
    </row>
    <row r="293" spans="3:3" x14ac:dyDescent="0.25">
      <c r="C293" s="39"/>
    </row>
    <row r="294" spans="3:3" x14ac:dyDescent="0.25">
      <c r="C294" s="39"/>
    </row>
    <row r="295" spans="3:3" x14ac:dyDescent="0.25">
      <c r="C295" s="39"/>
    </row>
    <row r="296" spans="3:3" x14ac:dyDescent="0.25">
      <c r="C296" s="39"/>
    </row>
    <row r="297" spans="3:3" x14ac:dyDescent="0.25">
      <c r="C297" s="39"/>
    </row>
    <row r="298" spans="3:3" x14ac:dyDescent="0.25">
      <c r="C298" s="39"/>
    </row>
    <row r="299" spans="3:3" x14ac:dyDescent="0.25">
      <c r="C299" s="39"/>
    </row>
    <row r="300" spans="3:3" x14ac:dyDescent="0.25">
      <c r="C300" s="39"/>
    </row>
    <row r="301" spans="3:3" x14ac:dyDescent="0.25">
      <c r="C301" s="39"/>
    </row>
    <row r="302" spans="3:3" x14ac:dyDescent="0.25">
      <c r="C302" s="39"/>
    </row>
    <row r="303" spans="3:3" x14ac:dyDescent="0.25">
      <c r="C303" s="39"/>
    </row>
    <row r="304" spans="3:3" x14ac:dyDescent="0.25">
      <c r="C304" s="39"/>
    </row>
    <row r="305" spans="3:3" x14ac:dyDescent="0.25">
      <c r="C305" s="39"/>
    </row>
    <row r="306" spans="3:3" x14ac:dyDescent="0.25">
      <c r="C306" s="39"/>
    </row>
    <row r="307" spans="3:3" x14ac:dyDescent="0.25">
      <c r="C307" s="39"/>
    </row>
    <row r="308" spans="3:3" x14ac:dyDescent="0.25">
      <c r="C308" s="39"/>
    </row>
    <row r="309" spans="3:3" x14ac:dyDescent="0.25">
      <c r="C309" s="39"/>
    </row>
    <row r="310" spans="3:3" x14ac:dyDescent="0.25">
      <c r="C310" s="39"/>
    </row>
    <row r="311" spans="3:3" x14ac:dyDescent="0.25">
      <c r="C311" s="39"/>
    </row>
    <row r="312" spans="3:3" x14ac:dyDescent="0.25">
      <c r="C312" s="39"/>
    </row>
    <row r="313" spans="3:3" x14ac:dyDescent="0.25">
      <c r="C313" s="39"/>
    </row>
    <row r="314" spans="3:3" x14ac:dyDescent="0.25">
      <c r="C314" s="39"/>
    </row>
    <row r="315" spans="3:3" x14ac:dyDescent="0.25">
      <c r="C315" s="39"/>
    </row>
    <row r="316" spans="3:3" x14ac:dyDescent="0.25">
      <c r="C316" s="39"/>
    </row>
    <row r="317" spans="3:3" x14ac:dyDescent="0.25">
      <c r="C317" s="39"/>
    </row>
    <row r="318" spans="3:3" x14ac:dyDescent="0.25">
      <c r="C318" s="39"/>
    </row>
    <row r="319" spans="3:3" x14ac:dyDescent="0.25">
      <c r="C319" s="39"/>
    </row>
    <row r="320" spans="3:3" x14ac:dyDescent="0.25">
      <c r="C320" s="39"/>
    </row>
    <row r="321" spans="3:3" x14ac:dyDescent="0.25">
      <c r="C321" s="39"/>
    </row>
    <row r="322" spans="3:3" x14ac:dyDescent="0.25">
      <c r="C322" s="39"/>
    </row>
    <row r="323" spans="3:3" x14ac:dyDescent="0.25">
      <c r="C323" s="39"/>
    </row>
    <row r="324" spans="3:3" x14ac:dyDescent="0.25">
      <c r="C324" s="39"/>
    </row>
    <row r="325" spans="3:3" x14ac:dyDescent="0.25">
      <c r="C325" s="39"/>
    </row>
    <row r="326" spans="3:3" x14ac:dyDescent="0.25">
      <c r="C326" s="39"/>
    </row>
    <row r="327" spans="3:3" x14ac:dyDescent="0.25">
      <c r="C327" s="39"/>
    </row>
    <row r="328" spans="3:3" x14ac:dyDescent="0.25">
      <c r="C328" s="39"/>
    </row>
    <row r="329" spans="3:3" x14ac:dyDescent="0.25">
      <c r="C329" s="39"/>
    </row>
    <row r="330" spans="3:3" x14ac:dyDescent="0.25">
      <c r="C330" s="39"/>
    </row>
    <row r="331" spans="3:3" x14ac:dyDescent="0.25">
      <c r="C331" s="39"/>
    </row>
    <row r="332" spans="3:3" x14ac:dyDescent="0.25">
      <c r="C332" s="39"/>
    </row>
    <row r="333" spans="3:3" x14ac:dyDescent="0.25">
      <c r="C333" s="39"/>
    </row>
    <row r="334" spans="3:3" x14ac:dyDescent="0.25">
      <c r="C334" s="39"/>
    </row>
    <row r="335" spans="3:3" x14ac:dyDescent="0.25">
      <c r="C335" s="39"/>
    </row>
    <row r="336" spans="3:3" x14ac:dyDescent="0.25">
      <c r="C336" s="39"/>
    </row>
    <row r="337" spans="3:3" x14ac:dyDescent="0.25">
      <c r="C337" s="39"/>
    </row>
    <row r="338" spans="3:3" x14ac:dyDescent="0.25">
      <c r="C338" s="39"/>
    </row>
    <row r="339" spans="3:3" x14ac:dyDescent="0.25">
      <c r="C339" s="39"/>
    </row>
    <row r="340" spans="3:3" x14ac:dyDescent="0.25">
      <c r="C340" s="39"/>
    </row>
    <row r="341" spans="3:3" x14ac:dyDescent="0.25">
      <c r="C341" s="39"/>
    </row>
    <row r="342" spans="3:3" x14ac:dyDescent="0.25">
      <c r="C342" s="39"/>
    </row>
    <row r="343" spans="3:3" x14ac:dyDescent="0.25">
      <c r="C343" s="39"/>
    </row>
    <row r="344" spans="3:3" x14ac:dyDescent="0.25">
      <c r="C344" s="39"/>
    </row>
    <row r="345" spans="3:3" x14ac:dyDescent="0.25">
      <c r="C345" s="39"/>
    </row>
    <row r="346" spans="3:3" x14ac:dyDescent="0.25">
      <c r="C346" s="39"/>
    </row>
    <row r="347" spans="3:3" x14ac:dyDescent="0.25">
      <c r="C347" s="39"/>
    </row>
    <row r="348" spans="3:3" x14ac:dyDescent="0.25">
      <c r="C348" s="39"/>
    </row>
    <row r="349" spans="3:3" x14ac:dyDescent="0.25">
      <c r="C349" s="39"/>
    </row>
    <row r="350" spans="3:3" x14ac:dyDescent="0.25">
      <c r="C350" s="39"/>
    </row>
    <row r="351" spans="3:3" x14ac:dyDescent="0.25">
      <c r="C351" s="39"/>
    </row>
    <row r="352" spans="3:3" x14ac:dyDescent="0.25">
      <c r="C352" s="39"/>
    </row>
    <row r="353" spans="3:3" x14ac:dyDescent="0.25">
      <c r="C353" s="39"/>
    </row>
    <row r="354" spans="3:3" x14ac:dyDescent="0.25">
      <c r="C354" s="39"/>
    </row>
    <row r="355" spans="3:3" x14ac:dyDescent="0.25">
      <c r="C355" s="39"/>
    </row>
    <row r="356" spans="3:3" x14ac:dyDescent="0.25">
      <c r="C356" s="39"/>
    </row>
    <row r="357" spans="3:3" x14ac:dyDescent="0.25">
      <c r="C357" s="39"/>
    </row>
    <row r="358" spans="3:3" x14ac:dyDescent="0.25">
      <c r="C358" s="39"/>
    </row>
    <row r="359" spans="3:3" x14ac:dyDescent="0.25">
      <c r="C359" s="39"/>
    </row>
    <row r="360" spans="3:3" x14ac:dyDescent="0.25">
      <c r="C360" s="39"/>
    </row>
    <row r="361" spans="3:3" x14ac:dyDescent="0.25">
      <c r="C361" s="39"/>
    </row>
    <row r="362" spans="3:3" x14ac:dyDescent="0.25">
      <c r="C362" s="39"/>
    </row>
    <row r="363" spans="3:3" x14ac:dyDescent="0.25">
      <c r="C363" s="39"/>
    </row>
    <row r="364" spans="3:3" x14ac:dyDescent="0.25">
      <c r="C364" s="39"/>
    </row>
    <row r="365" spans="3:3" x14ac:dyDescent="0.25">
      <c r="C365" s="39"/>
    </row>
    <row r="366" spans="3:3" x14ac:dyDescent="0.25">
      <c r="C366" s="39"/>
    </row>
    <row r="367" spans="3:3" x14ac:dyDescent="0.25">
      <c r="C367" s="39"/>
    </row>
    <row r="368" spans="3:3" x14ac:dyDescent="0.25">
      <c r="C368" s="39"/>
    </row>
    <row r="369" spans="3:3" x14ac:dyDescent="0.25">
      <c r="C369" s="39"/>
    </row>
    <row r="370" spans="3:3" x14ac:dyDescent="0.25">
      <c r="C370" s="39"/>
    </row>
    <row r="371" spans="3:3" x14ac:dyDescent="0.25">
      <c r="C371" s="39"/>
    </row>
    <row r="372" spans="3:3" x14ac:dyDescent="0.25">
      <c r="C372" s="39"/>
    </row>
    <row r="373" spans="3:3" x14ac:dyDescent="0.25">
      <c r="C373" s="39"/>
    </row>
    <row r="374" spans="3:3" x14ac:dyDescent="0.25">
      <c r="C374" s="39"/>
    </row>
    <row r="375" spans="3:3" x14ac:dyDescent="0.25">
      <c r="C375" s="39"/>
    </row>
    <row r="376" spans="3:3" x14ac:dyDescent="0.25">
      <c r="C376" s="39"/>
    </row>
    <row r="377" spans="3:3" x14ac:dyDescent="0.25">
      <c r="C377" s="39"/>
    </row>
    <row r="378" spans="3:3" x14ac:dyDescent="0.25">
      <c r="C378" s="39"/>
    </row>
    <row r="379" spans="3:3" x14ac:dyDescent="0.25">
      <c r="C379" s="39"/>
    </row>
    <row r="380" spans="3:3" x14ac:dyDescent="0.25">
      <c r="C380" s="39"/>
    </row>
    <row r="381" spans="3:3" x14ac:dyDescent="0.25">
      <c r="C381" s="39"/>
    </row>
    <row r="382" spans="3:3" x14ac:dyDescent="0.25">
      <c r="C382" s="39"/>
    </row>
    <row r="383" spans="3:3" x14ac:dyDescent="0.25">
      <c r="C383" s="39"/>
    </row>
    <row r="384" spans="3:3" x14ac:dyDescent="0.25">
      <c r="C384" s="39"/>
    </row>
    <row r="385" spans="3:3" x14ac:dyDescent="0.25">
      <c r="C385" s="39"/>
    </row>
    <row r="386" spans="3:3" x14ac:dyDescent="0.25">
      <c r="C386" s="39"/>
    </row>
    <row r="387" spans="3:3" x14ac:dyDescent="0.25">
      <c r="C387" s="39"/>
    </row>
    <row r="388" spans="3:3" x14ac:dyDescent="0.25">
      <c r="C388" s="39"/>
    </row>
    <row r="389" spans="3:3" x14ac:dyDescent="0.25">
      <c r="C389" s="39"/>
    </row>
    <row r="390" spans="3:3" x14ac:dyDescent="0.25">
      <c r="C390" s="39"/>
    </row>
    <row r="391" spans="3:3" x14ac:dyDescent="0.25">
      <c r="C391" s="39"/>
    </row>
    <row r="392" spans="3:3" x14ac:dyDescent="0.25">
      <c r="C392" s="39"/>
    </row>
    <row r="393" spans="3:3" x14ac:dyDescent="0.25">
      <c r="C393" s="39"/>
    </row>
    <row r="394" spans="3:3" x14ac:dyDescent="0.25">
      <c r="C394" s="39"/>
    </row>
    <row r="395" spans="3:3" x14ac:dyDescent="0.25">
      <c r="C395" s="39"/>
    </row>
    <row r="396" spans="3:3" x14ac:dyDescent="0.25">
      <c r="C396" s="39"/>
    </row>
    <row r="397" spans="3:3" x14ac:dyDescent="0.25">
      <c r="C397" s="39"/>
    </row>
    <row r="398" spans="3:3" x14ac:dyDescent="0.25">
      <c r="C398" s="39"/>
    </row>
    <row r="399" spans="3:3" x14ac:dyDescent="0.25">
      <c r="C399" s="39"/>
    </row>
    <row r="400" spans="3:3" x14ac:dyDescent="0.25">
      <c r="C400" s="39"/>
    </row>
    <row r="401" spans="3:3" x14ac:dyDescent="0.25">
      <c r="C401" s="39"/>
    </row>
    <row r="402" spans="3:3" x14ac:dyDescent="0.25">
      <c r="C402" s="39"/>
    </row>
    <row r="403" spans="3:3" x14ac:dyDescent="0.25">
      <c r="C403" s="39"/>
    </row>
    <row r="404" spans="3:3" x14ac:dyDescent="0.25">
      <c r="C404" s="39"/>
    </row>
    <row r="405" spans="3:3" x14ac:dyDescent="0.25">
      <c r="C405" s="39"/>
    </row>
    <row r="406" spans="3:3" x14ac:dyDescent="0.25">
      <c r="C406" s="39"/>
    </row>
    <row r="407" spans="3:3" x14ac:dyDescent="0.25">
      <c r="C407" s="39"/>
    </row>
    <row r="408" spans="3:3" x14ac:dyDescent="0.25">
      <c r="C408" s="39"/>
    </row>
    <row r="409" spans="3:3" x14ac:dyDescent="0.25">
      <c r="C409" s="39"/>
    </row>
    <row r="410" spans="3:3" x14ac:dyDescent="0.25">
      <c r="C410" s="39"/>
    </row>
    <row r="411" spans="3:3" x14ac:dyDescent="0.25">
      <c r="C411" s="39"/>
    </row>
    <row r="412" spans="3:3" x14ac:dyDescent="0.25">
      <c r="C412" s="39"/>
    </row>
    <row r="413" spans="3:3" x14ac:dyDescent="0.25">
      <c r="C413" s="39"/>
    </row>
    <row r="414" spans="3:3" x14ac:dyDescent="0.25">
      <c r="C414" s="39"/>
    </row>
    <row r="415" spans="3:3" x14ac:dyDescent="0.25">
      <c r="C415" s="39"/>
    </row>
    <row r="416" spans="3:3" x14ac:dyDescent="0.25">
      <c r="C416" s="39"/>
    </row>
    <row r="417" spans="3:3" x14ac:dyDescent="0.25">
      <c r="C417" s="39"/>
    </row>
    <row r="418" spans="3:3" x14ac:dyDescent="0.25">
      <c r="C418" s="39"/>
    </row>
    <row r="419" spans="3:3" x14ac:dyDescent="0.25">
      <c r="C419" s="39"/>
    </row>
    <row r="420" spans="3:3" x14ac:dyDescent="0.25">
      <c r="C420" s="39"/>
    </row>
    <row r="421" spans="3:3" x14ac:dyDescent="0.25">
      <c r="C421" s="39"/>
    </row>
    <row r="422" spans="3:3" x14ac:dyDescent="0.25">
      <c r="C422" s="39"/>
    </row>
    <row r="423" spans="3:3" x14ac:dyDescent="0.25">
      <c r="C423" s="39"/>
    </row>
    <row r="424" spans="3:3" x14ac:dyDescent="0.25">
      <c r="C424" s="39"/>
    </row>
    <row r="425" spans="3:3" x14ac:dyDescent="0.25">
      <c r="C425" s="39"/>
    </row>
    <row r="426" spans="3:3" x14ac:dyDescent="0.25">
      <c r="C426" s="39"/>
    </row>
    <row r="427" spans="3:3" x14ac:dyDescent="0.25">
      <c r="C427" s="39"/>
    </row>
    <row r="428" spans="3:3" x14ac:dyDescent="0.25">
      <c r="C428" s="39"/>
    </row>
    <row r="429" spans="3:3" x14ac:dyDescent="0.25">
      <c r="C429" s="39"/>
    </row>
    <row r="430" spans="3:3" x14ac:dyDescent="0.25">
      <c r="C430" s="39"/>
    </row>
    <row r="431" spans="3:3" x14ac:dyDescent="0.25">
      <c r="C431" s="39"/>
    </row>
    <row r="432" spans="3:3" x14ac:dyDescent="0.25">
      <c r="C432" s="39"/>
    </row>
    <row r="433" spans="3:3" x14ac:dyDescent="0.25">
      <c r="C433" s="39"/>
    </row>
    <row r="434" spans="3:3" x14ac:dyDescent="0.25">
      <c r="C434" s="39"/>
    </row>
    <row r="435" spans="3:3" x14ac:dyDescent="0.25">
      <c r="C435" s="39"/>
    </row>
    <row r="436" spans="3:3" x14ac:dyDescent="0.25">
      <c r="C436" s="39"/>
    </row>
    <row r="437" spans="3:3" x14ac:dyDescent="0.25">
      <c r="C437" s="39"/>
    </row>
    <row r="438" spans="3:3" x14ac:dyDescent="0.25">
      <c r="C438" s="39"/>
    </row>
    <row r="439" spans="3:3" x14ac:dyDescent="0.25">
      <c r="C439" s="39"/>
    </row>
    <row r="440" spans="3:3" x14ac:dyDescent="0.25">
      <c r="C440" s="39"/>
    </row>
    <row r="441" spans="3:3" x14ac:dyDescent="0.25">
      <c r="C441" s="39"/>
    </row>
    <row r="442" spans="3:3" x14ac:dyDescent="0.25">
      <c r="C442" s="39"/>
    </row>
    <row r="443" spans="3:3" x14ac:dyDescent="0.25">
      <c r="C443" s="39"/>
    </row>
    <row r="444" spans="3:3" x14ac:dyDescent="0.25">
      <c r="C444" s="39"/>
    </row>
    <row r="445" spans="3:3" x14ac:dyDescent="0.25">
      <c r="C445" s="39"/>
    </row>
    <row r="446" spans="3:3" x14ac:dyDescent="0.25">
      <c r="C446" s="39"/>
    </row>
    <row r="447" spans="3:3" x14ac:dyDescent="0.25">
      <c r="C447" s="39"/>
    </row>
    <row r="448" spans="3:3" x14ac:dyDescent="0.25">
      <c r="C448" s="39"/>
    </row>
    <row r="449" spans="3:3" x14ac:dyDescent="0.25">
      <c r="C449" s="39"/>
    </row>
    <row r="450" spans="3:3" x14ac:dyDescent="0.25">
      <c r="C450" s="39"/>
    </row>
    <row r="451" spans="3:3" x14ac:dyDescent="0.25">
      <c r="C451" s="39"/>
    </row>
    <row r="452" spans="3:3" x14ac:dyDescent="0.25">
      <c r="C452" s="39"/>
    </row>
    <row r="453" spans="3:3" x14ac:dyDescent="0.25">
      <c r="C453" s="39"/>
    </row>
    <row r="454" spans="3:3" x14ac:dyDescent="0.25">
      <c r="C454" s="39"/>
    </row>
    <row r="455" spans="3:3" x14ac:dyDescent="0.25">
      <c r="C455" s="39"/>
    </row>
    <row r="456" spans="3:3" x14ac:dyDescent="0.25">
      <c r="C456" s="39"/>
    </row>
    <row r="457" spans="3:3" x14ac:dyDescent="0.25">
      <c r="C457" s="39"/>
    </row>
    <row r="458" spans="3:3" x14ac:dyDescent="0.25">
      <c r="C458" s="39"/>
    </row>
    <row r="459" spans="3:3" x14ac:dyDescent="0.25">
      <c r="C459" s="39"/>
    </row>
    <row r="460" spans="3:3" x14ac:dyDescent="0.25">
      <c r="C460" s="39"/>
    </row>
    <row r="461" spans="3:3" x14ac:dyDescent="0.25">
      <c r="C461" s="39"/>
    </row>
    <row r="462" spans="3:3" x14ac:dyDescent="0.25">
      <c r="C462" s="39"/>
    </row>
    <row r="463" spans="3:3" x14ac:dyDescent="0.25">
      <c r="C463" s="39"/>
    </row>
    <row r="464" spans="3:3" x14ac:dyDescent="0.25">
      <c r="C464" s="39"/>
    </row>
    <row r="465" spans="3:3" x14ac:dyDescent="0.25">
      <c r="C465" s="39"/>
    </row>
    <row r="466" spans="3:3" x14ac:dyDescent="0.25">
      <c r="C466" s="39"/>
    </row>
    <row r="467" spans="3:3" x14ac:dyDescent="0.25">
      <c r="C467" s="39"/>
    </row>
    <row r="468" spans="3:3" x14ac:dyDescent="0.25">
      <c r="C468" s="39"/>
    </row>
    <row r="469" spans="3:3" x14ac:dyDescent="0.25">
      <c r="C469" s="39"/>
    </row>
    <row r="470" spans="3:3" x14ac:dyDescent="0.25">
      <c r="C470" s="39"/>
    </row>
    <row r="471" spans="3:3" x14ac:dyDescent="0.25">
      <c r="C471" s="39"/>
    </row>
    <row r="472" spans="3:3" x14ac:dyDescent="0.25">
      <c r="C472" s="39"/>
    </row>
    <row r="473" spans="3:3" x14ac:dyDescent="0.25">
      <c r="C473" s="39"/>
    </row>
    <row r="474" spans="3:3" x14ac:dyDescent="0.25">
      <c r="C474" s="39"/>
    </row>
    <row r="475" spans="3:3" x14ac:dyDescent="0.25">
      <c r="C475" s="39"/>
    </row>
    <row r="476" spans="3:3" x14ac:dyDescent="0.25">
      <c r="C476" s="39"/>
    </row>
    <row r="477" spans="3:3" x14ac:dyDescent="0.25">
      <c r="C477" s="39"/>
    </row>
    <row r="478" spans="3:3" x14ac:dyDescent="0.25">
      <c r="C478" s="39"/>
    </row>
    <row r="479" spans="3:3" x14ac:dyDescent="0.25">
      <c r="C479" s="39"/>
    </row>
    <row r="480" spans="3:3" x14ac:dyDescent="0.25">
      <c r="C480" s="39"/>
    </row>
    <row r="481" spans="3:3" x14ac:dyDescent="0.25">
      <c r="C481" s="39"/>
    </row>
    <row r="482" spans="3:3" x14ac:dyDescent="0.25">
      <c r="C482" s="39"/>
    </row>
    <row r="483" spans="3:3" x14ac:dyDescent="0.25">
      <c r="C483" s="39"/>
    </row>
    <row r="484" spans="3:3" x14ac:dyDescent="0.25">
      <c r="C484" s="39"/>
    </row>
    <row r="485" spans="3:3" x14ac:dyDescent="0.25">
      <c r="C485" s="39"/>
    </row>
    <row r="486" spans="3:3" x14ac:dyDescent="0.25">
      <c r="C486" s="39"/>
    </row>
    <row r="487" spans="3:3" x14ac:dyDescent="0.25">
      <c r="C487" s="39"/>
    </row>
    <row r="488" spans="3:3" x14ac:dyDescent="0.25">
      <c r="C488" s="39"/>
    </row>
    <row r="489" spans="3:3" x14ac:dyDescent="0.25">
      <c r="C489" s="39"/>
    </row>
    <row r="490" spans="3:3" x14ac:dyDescent="0.25">
      <c r="C490" s="39"/>
    </row>
    <row r="491" spans="3:3" x14ac:dyDescent="0.25">
      <c r="C491" s="39"/>
    </row>
    <row r="492" spans="3:3" x14ac:dyDescent="0.25">
      <c r="C492" s="39"/>
    </row>
    <row r="493" spans="3:3" x14ac:dyDescent="0.25">
      <c r="C493" s="39"/>
    </row>
    <row r="494" spans="3:3" x14ac:dyDescent="0.25">
      <c r="C494" s="39"/>
    </row>
    <row r="495" spans="3:3" x14ac:dyDescent="0.25">
      <c r="C495" s="39"/>
    </row>
    <row r="496" spans="3:3" x14ac:dyDescent="0.25">
      <c r="C496" s="39"/>
    </row>
    <row r="497" spans="3:3" x14ac:dyDescent="0.25">
      <c r="C497" s="39"/>
    </row>
    <row r="498" spans="3:3" x14ac:dyDescent="0.25">
      <c r="C498" s="39"/>
    </row>
    <row r="499" spans="3:3" x14ac:dyDescent="0.25">
      <c r="C499" s="39"/>
    </row>
    <row r="500" spans="3:3" x14ac:dyDescent="0.25">
      <c r="C500" s="39"/>
    </row>
    <row r="501" spans="3:3" x14ac:dyDescent="0.25">
      <c r="C501" s="39"/>
    </row>
    <row r="502" spans="3:3" x14ac:dyDescent="0.25">
      <c r="C502" s="39"/>
    </row>
    <row r="503" spans="3:3" x14ac:dyDescent="0.25">
      <c r="C503" s="39"/>
    </row>
    <row r="504" spans="3:3" x14ac:dyDescent="0.25">
      <c r="C504" s="39"/>
    </row>
    <row r="505" spans="3:3" x14ac:dyDescent="0.25">
      <c r="C505" s="39"/>
    </row>
    <row r="506" spans="3:3" x14ac:dyDescent="0.25">
      <c r="C506" s="39"/>
    </row>
    <row r="507" spans="3:3" x14ac:dyDescent="0.25">
      <c r="C507" s="39"/>
    </row>
    <row r="508" spans="3:3" x14ac:dyDescent="0.25">
      <c r="C508" s="39"/>
    </row>
    <row r="509" spans="3:3" x14ac:dyDescent="0.25">
      <c r="C509" s="39"/>
    </row>
    <row r="510" spans="3:3" x14ac:dyDescent="0.25">
      <c r="C510" s="39"/>
    </row>
    <row r="511" spans="3:3" x14ac:dyDescent="0.25">
      <c r="C511" s="39"/>
    </row>
    <row r="512" spans="3:3" x14ac:dyDescent="0.25">
      <c r="C512" s="39"/>
    </row>
    <row r="513" spans="3:3" x14ac:dyDescent="0.25">
      <c r="C513" s="39"/>
    </row>
    <row r="514" spans="3:3" x14ac:dyDescent="0.25">
      <c r="C514" s="39"/>
    </row>
    <row r="515" spans="3:3" x14ac:dyDescent="0.25">
      <c r="C515" s="39"/>
    </row>
    <row r="516" spans="3:3" x14ac:dyDescent="0.25">
      <c r="C516" s="39"/>
    </row>
    <row r="517" spans="3:3" x14ac:dyDescent="0.25">
      <c r="C517" s="39"/>
    </row>
    <row r="518" spans="3:3" x14ac:dyDescent="0.25">
      <c r="C518" s="39"/>
    </row>
    <row r="519" spans="3:3" x14ac:dyDescent="0.25">
      <c r="C519" s="39"/>
    </row>
    <row r="520" spans="3:3" x14ac:dyDescent="0.25">
      <c r="C520" s="39"/>
    </row>
    <row r="521" spans="3:3" x14ac:dyDescent="0.25">
      <c r="C521" s="39"/>
    </row>
    <row r="522" spans="3:3" x14ac:dyDescent="0.25">
      <c r="C522" s="39"/>
    </row>
    <row r="523" spans="3:3" x14ac:dyDescent="0.25">
      <c r="C523" s="39"/>
    </row>
    <row r="524" spans="3:3" x14ac:dyDescent="0.25">
      <c r="C524" s="39"/>
    </row>
    <row r="525" spans="3:3" x14ac:dyDescent="0.25">
      <c r="C525" s="39"/>
    </row>
    <row r="526" spans="3:3" x14ac:dyDescent="0.25">
      <c r="C526" s="39"/>
    </row>
    <row r="527" spans="3:3" x14ac:dyDescent="0.25">
      <c r="C527" s="39"/>
    </row>
    <row r="528" spans="3:3" x14ac:dyDescent="0.25">
      <c r="C528" s="39"/>
    </row>
    <row r="529" spans="3:3" x14ac:dyDescent="0.25">
      <c r="C529" s="39"/>
    </row>
    <row r="530" spans="3:3" x14ac:dyDescent="0.25">
      <c r="C530" s="39"/>
    </row>
    <row r="531" spans="3:3" x14ac:dyDescent="0.25">
      <c r="C531" s="39"/>
    </row>
    <row r="532" spans="3:3" x14ac:dyDescent="0.25">
      <c r="C532" s="39"/>
    </row>
    <row r="533" spans="3:3" x14ac:dyDescent="0.25">
      <c r="C533" s="39"/>
    </row>
    <row r="534" spans="3:3" x14ac:dyDescent="0.25">
      <c r="C534" s="39"/>
    </row>
    <row r="535" spans="3:3" x14ac:dyDescent="0.25">
      <c r="C535" s="39"/>
    </row>
    <row r="536" spans="3:3" x14ac:dyDescent="0.25">
      <c r="C536" s="39"/>
    </row>
    <row r="537" spans="3:3" x14ac:dyDescent="0.25">
      <c r="C537" s="39"/>
    </row>
    <row r="538" spans="3:3" x14ac:dyDescent="0.25">
      <c r="C538" s="39"/>
    </row>
    <row r="539" spans="3:3" x14ac:dyDescent="0.25">
      <c r="C539" s="39"/>
    </row>
    <row r="540" spans="3:3" x14ac:dyDescent="0.25">
      <c r="C540" s="39"/>
    </row>
    <row r="541" spans="3:3" x14ac:dyDescent="0.25">
      <c r="C541" s="39"/>
    </row>
    <row r="542" spans="3:3" x14ac:dyDescent="0.25">
      <c r="C542" s="39"/>
    </row>
    <row r="543" spans="3:3" x14ac:dyDescent="0.25">
      <c r="C543" s="39"/>
    </row>
    <row r="544" spans="3:3" x14ac:dyDescent="0.25">
      <c r="C544" s="39"/>
    </row>
    <row r="545" spans="3:3" x14ac:dyDescent="0.25">
      <c r="C545" s="39"/>
    </row>
    <row r="546" spans="3:3" x14ac:dyDescent="0.25">
      <c r="C546" s="39"/>
    </row>
    <row r="547" spans="3:3" x14ac:dyDescent="0.25">
      <c r="C547" s="39"/>
    </row>
    <row r="548" spans="3:3" x14ac:dyDescent="0.25">
      <c r="C548" s="39"/>
    </row>
    <row r="549" spans="3:3" x14ac:dyDescent="0.25">
      <c r="C549" s="39"/>
    </row>
    <row r="550" spans="3:3" x14ac:dyDescent="0.25">
      <c r="C550" s="39"/>
    </row>
    <row r="551" spans="3:3" x14ac:dyDescent="0.25">
      <c r="C551" s="39"/>
    </row>
    <row r="552" spans="3:3" x14ac:dyDescent="0.25">
      <c r="C552" s="39"/>
    </row>
    <row r="553" spans="3:3" x14ac:dyDescent="0.25">
      <c r="C553" s="39"/>
    </row>
    <row r="554" spans="3:3" x14ac:dyDescent="0.25">
      <c r="C554" s="39"/>
    </row>
    <row r="555" spans="3:3" x14ac:dyDescent="0.25">
      <c r="C555" s="39"/>
    </row>
    <row r="556" spans="3:3" x14ac:dyDescent="0.25">
      <c r="C556" s="39"/>
    </row>
    <row r="557" spans="3:3" x14ac:dyDescent="0.25">
      <c r="C557" s="39"/>
    </row>
    <row r="558" spans="3:3" x14ac:dyDescent="0.25">
      <c r="C558" s="39"/>
    </row>
    <row r="559" spans="3:3" x14ac:dyDescent="0.25">
      <c r="C559" s="39"/>
    </row>
    <row r="560" spans="3:3" x14ac:dyDescent="0.25">
      <c r="C560" s="39"/>
    </row>
    <row r="561" spans="3:3" x14ac:dyDescent="0.25">
      <c r="C561" s="39"/>
    </row>
    <row r="562" spans="3:3" x14ac:dyDescent="0.25">
      <c r="C562" s="39"/>
    </row>
    <row r="563" spans="3:3" x14ac:dyDescent="0.25">
      <c r="C563" s="39"/>
    </row>
    <row r="564" spans="3:3" x14ac:dyDescent="0.25">
      <c r="C564" s="39"/>
    </row>
    <row r="565" spans="3:3" x14ac:dyDescent="0.25">
      <c r="C565" s="39"/>
    </row>
    <row r="566" spans="3:3" x14ac:dyDescent="0.25">
      <c r="C566" s="39"/>
    </row>
    <row r="567" spans="3:3" x14ac:dyDescent="0.25">
      <c r="C567" s="39"/>
    </row>
    <row r="568" spans="3:3" x14ac:dyDescent="0.25">
      <c r="C568" s="39"/>
    </row>
    <row r="569" spans="3:3" x14ac:dyDescent="0.25">
      <c r="C569" s="39"/>
    </row>
    <row r="570" spans="3:3" x14ac:dyDescent="0.25">
      <c r="C570" s="39"/>
    </row>
    <row r="571" spans="3:3" x14ac:dyDescent="0.25">
      <c r="C571" s="39"/>
    </row>
    <row r="572" spans="3:3" x14ac:dyDescent="0.25">
      <c r="C572" s="39"/>
    </row>
    <row r="573" spans="3:3" x14ac:dyDescent="0.25">
      <c r="C573" s="39"/>
    </row>
    <row r="574" spans="3:3" x14ac:dyDescent="0.25">
      <c r="C574" s="39"/>
    </row>
    <row r="575" spans="3:3" x14ac:dyDescent="0.25">
      <c r="C575" s="39"/>
    </row>
    <row r="576" spans="3:3" x14ac:dyDescent="0.25">
      <c r="C576" s="39"/>
    </row>
    <row r="577" spans="3:3" x14ac:dyDescent="0.25">
      <c r="C577" s="39"/>
    </row>
    <row r="578" spans="3:3" x14ac:dyDescent="0.25">
      <c r="C578" s="39"/>
    </row>
    <row r="579" spans="3:3" x14ac:dyDescent="0.25">
      <c r="C579" s="39"/>
    </row>
    <row r="580" spans="3:3" x14ac:dyDescent="0.25">
      <c r="C580" s="39"/>
    </row>
    <row r="581" spans="3:3" x14ac:dyDescent="0.25">
      <c r="C581" s="39"/>
    </row>
    <row r="582" spans="3:3" x14ac:dyDescent="0.25">
      <c r="C582" s="39"/>
    </row>
    <row r="583" spans="3:3" x14ac:dyDescent="0.25">
      <c r="C583" s="39"/>
    </row>
    <row r="584" spans="3:3" x14ac:dyDescent="0.25">
      <c r="C584" s="39"/>
    </row>
    <row r="585" spans="3:3" x14ac:dyDescent="0.25">
      <c r="C585" s="39"/>
    </row>
    <row r="586" spans="3:3" x14ac:dyDescent="0.25">
      <c r="C586" s="39"/>
    </row>
    <row r="587" spans="3:3" x14ac:dyDescent="0.25">
      <c r="C587" s="39"/>
    </row>
    <row r="588" spans="3:3" x14ac:dyDescent="0.25">
      <c r="C588" s="39"/>
    </row>
    <row r="589" spans="3:3" x14ac:dyDescent="0.25">
      <c r="C589" s="39"/>
    </row>
    <row r="590" spans="3:3" x14ac:dyDescent="0.25">
      <c r="C590" s="39"/>
    </row>
    <row r="591" spans="3:3" x14ac:dyDescent="0.25">
      <c r="C591" s="39"/>
    </row>
    <row r="592" spans="3:3" x14ac:dyDescent="0.25">
      <c r="C592" s="39"/>
    </row>
    <row r="593" spans="3:3" x14ac:dyDescent="0.25">
      <c r="C593" s="39"/>
    </row>
    <row r="594" spans="3:3" x14ac:dyDescent="0.25">
      <c r="C594" s="39"/>
    </row>
    <row r="595" spans="3:3" x14ac:dyDescent="0.25">
      <c r="C595" s="39"/>
    </row>
    <row r="596" spans="3:3" x14ac:dyDescent="0.25">
      <c r="C596" s="39"/>
    </row>
    <row r="597" spans="3:3" x14ac:dyDescent="0.25">
      <c r="C597" s="39"/>
    </row>
    <row r="598" spans="3:3" x14ac:dyDescent="0.25">
      <c r="C598" s="39"/>
    </row>
    <row r="599" spans="3:3" x14ac:dyDescent="0.25">
      <c r="C599" s="39"/>
    </row>
    <row r="600" spans="3:3" x14ac:dyDescent="0.25">
      <c r="C600" s="39"/>
    </row>
    <row r="601" spans="3:3" x14ac:dyDescent="0.25">
      <c r="C601" s="39"/>
    </row>
    <row r="602" spans="3:3" x14ac:dyDescent="0.25">
      <c r="C602" s="39"/>
    </row>
    <row r="603" spans="3:3" x14ac:dyDescent="0.25">
      <c r="C603" s="39"/>
    </row>
    <row r="604" spans="3:3" x14ac:dyDescent="0.25">
      <c r="C604" s="39"/>
    </row>
    <row r="605" spans="3:3" x14ac:dyDescent="0.25">
      <c r="C605" s="39"/>
    </row>
    <row r="606" spans="3:3" x14ac:dyDescent="0.25">
      <c r="C606" s="39"/>
    </row>
    <row r="607" spans="3:3" x14ac:dyDescent="0.25">
      <c r="C607" s="39"/>
    </row>
    <row r="608" spans="3:3" x14ac:dyDescent="0.25">
      <c r="C608" s="39"/>
    </row>
    <row r="609" spans="3:3" x14ac:dyDescent="0.25">
      <c r="C609" s="39"/>
    </row>
    <row r="610" spans="3:3" x14ac:dyDescent="0.25">
      <c r="C610" s="39"/>
    </row>
    <row r="611" spans="3:3" x14ac:dyDescent="0.25">
      <c r="C611" s="39"/>
    </row>
    <row r="612" spans="3:3" x14ac:dyDescent="0.25">
      <c r="C612" s="39"/>
    </row>
    <row r="613" spans="3:3" x14ac:dyDescent="0.25">
      <c r="C613" s="39"/>
    </row>
    <row r="614" spans="3:3" x14ac:dyDescent="0.25">
      <c r="C614" s="39"/>
    </row>
    <row r="615" spans="3:3" x14ac:dyDescent="0.25">
      <c r="C615" s="39"/>
    </row>
    <row r="616" spans="3:3" x14ac:dyDescent="0.25">
      <c r="C616" s="39"/>
    </row>
    <row r="617" spans="3:3" x14ac:dyDescent="0.25">
      <c r="C617" s="39"/>
    </row>
    <row r="618" spans="3:3" x14ac:dyDescent="0.25">
      <c r="C618" s="39"/>
    </row>
    <row r="619" spans="3:3" x14ac:dyDescent="0.25">
      <c r="C619" s="39"/>
    </row>
    <row r="620" spans="3:3" x14ac:dyDescent="0.25">
      <c r="C620" s="39"/>
    </row>
    <row r="621" spans="3:3" x14ac:dyDescent="0.25">
      <c r="C621" s="39"/>
    </row>
    <row r="622" spans="3:3" x14ac:dyDescent="0.25">
      <c r="C622" s="39"/>
    </row>
    <row r="623" spans="3:3" x14ac:dyDescent="0.25">
      <c r="C623" s="39"/>
    </row>
    <row r="624" spans="3:3" x14ac:dyDescent="0.25">
      <c r="C624" s="39"/>
    </row>
    <row r="625" spans="3:3" x14ac:dyDescent="0.25">
      <c r="C625" s="39"/>
    </row>
    <row r="626" spans="3:3" x14ac:dyDescent="0.25">
      <c r="C626" s="39"/>
    </row>
    <row r="627" spans="3:3" x14ac:dyDescent="0.25">
      <c r="C627" s="39"/>
    </row>
    <row r="628" spans="3:3" x14ac:dyDescent="0.25">
      <c r="C628" s="39"/>
    </row>
    <row r="629" spans="3:3" x14ac:dyDescent="0.25">
      <c r="C629" s="39"/>
    </row>
    <row r="630" spans="3:3" x14ac:dyDescent="0.25">
      <c r="C630" s="39"/>
    </row>
    <row r="631" spans="3:3" x14ac:dyDescent="0.25">
      <c r="C631" s="39"/>
    </row>
    <row r="632" spans="3:3" x14ac:dyDescent="0.25">
      <c r="C632" s="39"/>
    </row>
    <row r="633" spans="3:3" x14ac:dyDescent="0.25">
      <c r="C633" s="39"/>
    </row>
    <row r="634" spans="3:3" x14ac:dyDescent="0.25">
      <c r="C634" s="39"/>
    </row>
    <row r="635" spans="3:3" x14ac:dyDescent="0.25">
      <c r="C635" s="39"/>
    </row>
    <row r="636" spans="3:3" x14ac:dyDescent="0.25">
      <c r="C636" s="39"/>
    </row>
    <row r="637" spans="3:3" x14ac:dyDescent="0.25">
      <c r="C637" s="39"/>
    </row>
    <row r="638" spans="3:3" x14ac:dyDescent="0.25">
      <c r="C638" s="39"/>
    </row>
    <row r="639" spans="3:3" x14ac:dyDescent="0.25">
      <c r="C639" s="39"/>
    </row>
    <row r="640" spans="3:3" x14ac:dyDescent="0.25">
      <c r="C640" s="39"/>
    </row>
    <row r="641" spans="3:3" x14ac:dyDescent="0.25">
      <c r="C641" s="39"/>
    </row>
    <row r="642" spans="3:3" x14ac:dyDescent="0.25">
      <c r="C642" s="39"/>
    </row>
    <row r="643" spans="3:3" x14ac:dyDescent="0.25">
      <c r="C643" s="39"/>
    </row>
    <row r="644" spans="3:3" x14ac:dyDescent="0.25">
      <c r="C644" s="39"/>
    </row>
    <row r="645" spans="3:3" x14ac:dyDescent="0.25">
      <c r="C645" s="39"/>
    </row>
    <row r="646" spans="3:3" x14ac:dyDescent="0.25">
      <c r="C646" s="39"/>
    </row>
    <row r="647" spans="3:3" x14ac:dyDescent="0.25">
      <c r="C647" s="39"/>
    </row>
    <row r="648" spans="3:3" x14ac:dyDescent="0.25">
      <c r="C648" s="39"/>
    </row>
    <row r="649" spans="3:3" x14ac:dyDescent="0.25">
      <c r="C649" s="39"/>
    </row>
    <row r="650" spans="3:3" x14ac:dyDescent="0.25">
      <c r="C650" s="39"/>
    </row>
    <row r="651" spans="3:3" x14ac:dyDescent="0.25">
      <c r="C651" s="39"/>
    </row>
    <row r="652" spans="3:3" x14ac:dyDescent="0.25">
      <c r="C652" s="39"/>
    </row>
    <row r="653" spans="3:3" x14ac:dyDescent="0.25">
      <c r="C653" s="39"/>
    </row>
    <row r="654" spans="3:3" x14ac:dyDescent="0.25">
      <c r="C654" s="39"/>
    </row>
    <row r="655" spans="3:3" x14ac:dyDescent="0.25">
      <c r="C655" s="39"/>
    </row>
    <row r="656" spans="3:3" x14ac:dyDescent="0.25">
      <c r="C656" s="39"/>
    </row>
    <row r="657" spans="3:3" x14ac:dyDescent="0.25">
      <c r="C657" s="39"/>
    </row>
    <row r="658" spans="3:3" x14ac:dyDescent="0.25">
      <c r="C658" s="39"/>
    </row>
    <row r="659" spans="3:3" x14ac:dyDescent="0.25">
      <c r="C659" s="39"/>
    </row>
    <row r="660" spans="3:3" x14ac:dyDescent="0.25">
      <c r="C660" s="39"/>
    </row>
    <row r="661" spans="3:3" x14ac:dyDescent="0.25">
      <c r="C661" s="39"/>
    </row>
    <row r="662" spans="3:3" x14ac:dyDescent="0.25">
      <c r="C662" s="39"/>
    </row>
    <row r="663" spans="3:3" x14ac:dyDescent="0.25">
      <c r="C663" s="39"/>
    </row>
    <row r="664" spans="3:3" x14ac:dyDescent="0.25">
      <c r="C664" s="39"/>
    </row>
    <row r="665" spans="3:3" x14ac:dyDescent="0.25">
      <c r="C665" s="39"/>
    </row>
    <row r="666" spans="3:3" x14ac:dyDescent="0.25">
      <c r="C666" s="39"/>
    </row>
    <row r="667" spans="3:3" x14ac:dyDescent="0.25">
      <c r="C667" s="39"/>
    </row>
    <row r="668" spans="3:3" x14ac:dyDescent="0.25">
      <c r="C668" s="39"/>
    </row>
    <row r="669" spans="3:3" x14ac:dyDescent="0.25">
      <c r="C669" s="39"/>
    </row>
    <row r="670" spans="3:3" x14ac:dyDescent="0.25">
      <c r="C670" s="39"/>
    </row>
    <row r="671" spans="3:3" x14ac:dyDescent="0.25">
      <c r="C671" s="39"/>
    </row>
    <row r="672" spans="3:3" x14ac:dyDescent="0.25">
      <c r="C672" s="39"/>
    </row>
    <row r="673" spans="3:3" x14ac:dyDescent="0.25">
      <c r="C673" s="39"/>
    </row>
    <row r="674" spans="3:3" x14ac:dyDescent="0.25">
      <c r="C674" s="39"/>
    </row>
    <row r="675" spans="3:3" x14ac:dyDescent="0.25">
      <c r="C675" s="39"/>
    </row>
    <row r="676" spans="3:3" x14ac:dyDescent="0.25">
      <c r="C676" s="39"/>
    </row>
    <row r="677" spans="3:3" x14ac:dyDescent="0.25">
      <c r="C677" s="39"/>
    </row>
    <row r="678" spans="3:3" x14ac:dyDescent="0.25">
      <c r="C678" s="39"/>
    </row>
    <row r="679" spans="3:3" x14ac:dyDescent="0.25">
      <c r="C679" s="39"/>
    </row>
    <row r="680" spans="3:3" x14ac:dyDescent="0.25">
      <c r="C680" s="39"/>
    </row>
    <row r="681" spans="3:3" x14ac:dyDescent="0.25">
      <c r="C681" s="39"/>
    </row>
    <row r="682" spans="3:3" x14ac:dyDescent="0.25">
      <c r="C682" s="39"/>
    </row>
    <row r="683" spans="3:3" x14ac:dyDescent="0.25">
      <c r="C683" s="39"/>
    </row>
    <row r="684" spans="3:3" x14ac:dyDescent="0.25">
      <c r="C684" s="39"/>
    </row>
    <row r="685" spans="3:3" x14ac:dyDescent="0.25">
      <c r="C685" s="39"/>
    </row>
    <row r="686" spans="3:3" x14ac:dyDescent="0.25">
      <c r="C686" s="39"/>
    </row>
    <row r="687" spans="3:3" x14ac:dyDescent="0.25">
      <c r="C687" s="39"/>
    </row>
    <row r="688" spans="3:3" x14ac:dyDescent="0.25">
      <c r="C688" s="39"/>
    </row>
    <row r="689" spans="3:3" x14ac:dyDescent="0.25">
      <c r="C689" s="39"/>
    </row>
    <row r="690" spans="3:3" x14ac:dyDescent="0.25">
      <c r="C690" s="39"/>
    </row>
    <row r="691" spans="3:3" x14ac:dyDescent="0.25">
      <c r="C691" s="39"/>
    </row>
    <row r="692" spans="3:3" x14ac:dyDescent="0.25">
      <c r="C692" s="39"/>
    </row>
    <row r="693" spans="3:3" x14ac:dyDescent="0.25">
      <c r="C693" s="39"/>
    </row>
    <row r="694" spans="3:3" x14ac:dyDescent="0.25">
      <c r="C694" s="39"/>
    </row>
    <row r="695" spans="3:3" x14ac:dyDescent="0.25">
      <c r="C695" s="39"/>
    </row>
    <row r="696" spans="3:3" x14ac:dyDescent="0.25">
      <c r="C696" s="39"/>
    </row>
    <row r="697" spans="3:3" x14ac:dyDescent="0.25">
      <c r="C697" s="39"/>
    </row>
    <row r="698" spans="3:3" x14ac:dyDescent="0.25">
      <c r="C698" s="39"/>
    </row>
    <row r="699" spans="3:3" x14ac:dyDescent="0.25">
      <c r="C699" s="39"/>
    </row>
    <row r="700" spans="3:3" x14ac:dyDescent="0.25">
      <c r="C700" s="39"/>
    </row>
    <row r="701" spans="3:3" x14ac:dyDescent="0.25">
      <c r="C701" s="39"/>
    </row>
    <row r="702" spans="3:3" x14ac:dyDescent="0.25">
      <c r="C702" s="39"/>
    </row>
    <row r="703" spans="3:3" x14ac:dyDescent="0.25">
      <c r="C703" s="39"/>
    </row>
    <row r="704" spans="3:3" x14ac:dyDescent="0.25">
      <c r="C704" s="39"/>
    </row>
    <row r="705" spans="3:3" x14ac:dyDescent="0.25">
      <c r="C705" s="39"/>
    </row>
    <row r="706" spans="3:3" x14ac:dyDescent="0.25">
      <c r="C706" s="39"/>
    </row>
    <row r="707" spans="3:3" x14ac:dyDescent="0.25">
      <c r="C707" s="39"/>
    </row>
    <row r="708" spans="3:3" x14ac:dyDescent="0.25">
      <c r="C708" s="39"/>
    </row>
    <row r="709" spans="3:3" x14ac:dyDescent="0.25">
      <c r="C709" s="39"/>
    </row>
    <row r="710" spans="3:3" x14ac:dyDescent="0.25">
      <c r="C710" s="39"/>
    </row>
    <row r="711" spans="3:3" x14ac:dyDescent="0.25">
      <c r="C711" s="39"/>
    </row>
    <row r="712" spans="3:3" x14ac:dyDescent="0.25">
      <c r="C712" s="39"/>
    </row>
    <row r="713" spans="3:3" x14ac:dyDescent="0.25">
      <c r="C713" s="39"/>
    </row>
    <row r="714" spans="3:3" x14ac:dyDescent="0.25">
      <c r="C714" s="39"/>
    </row>
    <row r="715" spans="3:3" x14ac:dyDescent="0.25">
      <c r="C715" s="39"/>
    </row>
    <row r="716" spans="3:3" x14ac:dyDescent="0.25">
      <c r="C716" s="39"/>
    </row>
    <row r="717" spans="3:3" x14ac:dyDescent="0.25">
      <c r="C717" s="39"/>
    </row>
    <row r="718" spans="3:3" x14ac:dyDescent="0.25">
      <c r="C718" s="39"/>
    </row>
    <row r="719" spans="3:3" x14ac:dyDescent="0.25">
      <c r="C719" s="39"/>
    </row>
    <row r="720" spans="3:3" x14ac:dyDescent="0.25">
      <c r="C720" s="39"/>
    </row>
    <row r="721" spans="3:3" x14ac:dyDescent="0.25">
      <c r="C721" s="39"/>
    </row>
    <row r="722" spans="3:3" x14ac:dyDescent="0.25">
      <c r="C722" s="39"/>
    </row>
    <row r="723" spans="3:3" x14ac:dyDescent="0.25">
      <c r="C723" s="39"/>
    </row>
    <row r="724" spans="3:3" x14ac:dyDescent="0.25">
      <c r="C724" s="39"/>
    </row>
    <row r="725" spans="3:3" x14ac:dyDescent="0.25">
      <c r="C725" s="39"/>
    </row>
    <row r="726" spans="3:3" x14ac:dyDescent="0.25">
      <c r="C726" s="39"/>
    </row>
    <row r="727" spans="3:3" x14ac:dyDescent="0.25">
      <c r="C727" s="39"/>
    </row>
    <row r="728" spans="3:3" x14ac:dyDescent="0.25">
      <c r="C728" s="39"/>
    </row>
    <row r="729" spans="3:3" x14ac:dyDescent="0.25">
      <c r="C729" s="39"/>
    </row>
    <row r="730" spans="3:3" x14ac:dyDescent="0.25">
      <c r="C730" s="39"/>
    </row>
    <row r="731" spans="3:3" x14ac:dyDescent="0.25">
      <c r="C731" s="39"/>
    </row>
    <row r="732" spans="3:3" x14ac:dyDescent="0.25">
      <c r="C732" s="39"/>
    </row>
    <row r="733" spans="3:3" x14ac:dyDescent="0.25">
      <c r="C733" s="39"/>
    </row>
    <row r="734" spans="3:3" x14ac:dyDescent="0.25">
      <c r="C734" s="39"/>
    </row>
    <row r="735" spans="3:3" x14ac:dyDescent="0.25">
      <c r="C735" s="39"/>
    </row>
    <row r="736" spans="3:3" x14ac:dyDescent="0.25">
      <c r="C736" s="39"/>
    </row>
    <row r="737" spans="3:3" x14ac:dyDescent="0.25">
      <c r="C737" s="39"/>
    </row>
    <row r="738" spans="3:3" x14ac:dyDescent="0.25">
      <c r="C738" s="39"/>
    </row>
    <row r="739" spans="3:3" x14ac:dyDescent="0.25">
      <c r="C739" s="39"/>
    </row>
    <row r="740" spans="3:3" x14ac:dyDescent="0.25">
      <c r="C740" s="39"/>
    </row>
    <row r="741" spans="3:3" x14ac:dyDescent="0.25">
      <c r="C741" s="39"/>
    </row>
    <row r="742" spans="3:3" x14ac:dyDescent="0.25">
      <c r="C742" s="39"/>
    </row>
    <row r="743" spans="3:3" x14ac:dyDescent="0.25">
      <c r="C743" s="39"/>
    </row>
    <row r="744" spans="3:3" x14ac:dyDescent="0.25">
      <c r="C744" s="39"/>
    </row>
    <row r="745" spans="3:3" x14ac:dyDescent="0.25">
      <c r="C745" s="39"/>
    </row>
    <row r="746" spans="3:3" x14ac:dyDescent="0.25">
      <c r="C746" s="39"/>
    </row>
    <row r="747" spans="3:3" x14ac:dyDescent="0.25">
      <c r="C747" s="39"/>
    </row>
    <row r="748" spans="3:3" x14ac:dyDescent="0.25">
      <c r="C748" s="39"/>
    </row>
    <row r="749" spans="3:3" x14ac:dyDescent="0.25">
      <c r="C749" s="39"/>
    </row>
    <row r="750" spans="3:3" x14ac:dyDescent="0.25">
      <c r="C750" s="39"/>
    </row>
    <row r="751" spans="3:3" x14ac:dyDescent="0.25">
      <c r="C751" s="39"/>
    </row>
    <row r="752" spans="3:3" x14ac:dyDescent="0.25">
      <c r="C752" s="39"/>
    </row>
    <row r="753" spans="3:3" x14ac:dyDescent="0.25">
      <c r="C753" s="39"/>
    </row>
    <row r="754" spans="3:3" x14ac:dyDescent="0.25">
      <c r="C754" s="39"/>
    </row>
    <row r="755" spans="3:3" x14ac:dyDescent="0.25">
      <c r="C755" s="39"/>
    </row>
    <row r="756" spans="3:3" x14ac:dyDescent="0.25">
      <c r="C756" s="39"/>
    </row>
    <row r="757" spans="3:3" x14ac:dyDescent="0.25">
      <c r="C757" s="39"/>
    </row>
    <row r="758" spans="3:3" x14ac:dyDescent="0.25">
      <c r="C758" s="39"/>
    </row>
    <row r="759" spans="3:3" x14ac:dyDescent="0.25">
      <c r="C759" s="39"/>
    </row>
    <row r="760" spans="3:3" x14ac:dyDescent="0.25">
      <c r="C760" s="39"/>
    </row>
    <row r="761" spans="3:3" x14ac:dyDescent="0.25">
      <c r="C761" s="39"/>
    </row>
    <row r="762" spans="3:3" x14ac:dyDescent="0.25">
      <c r="C762" s="39"/>
    </row>
    <row r="763" spans="3:3" x14ac:dyDescent="0.25">
      <c r="C763" s="39"/>
    </row>
    <row r="764" spans="3:3" x14ac:dyDescent="0.25">
      <c r="C764" s="39"/>
    </row>
    <row r="765" spans="3:3" x14ac:dyDescent="0.25">
      <c r="C765" s="39"/>
    </row>
    <row r="766" spans="3:3" x14ac:dyDescent="0.25">
      <c r="C766" s="39"/>
    </row>
    <row r="767" spans="3:3" x14ac:dyDescent="0.25">
      <c r="C767" s="39"/>
    </row>
    <row r="768" spans="3:3" x14ac:dyDescent="0.25">
      <c r="C768" s="39"/>
    </row>
    <row r="769" spans="3:3" x14ac:dyDescent="0.25">
      <c r="C769" s="39"/>
    </row>
    <row r="770" spans="3:3" x14ac:dyDescent="0.25">
      <c r="C770" s="39"/>
    </row>
    <row r="771" spans="3:3" x14ac:dyDescent="0.25">
      <c r="C771" s="39"/>
    </row>
    <row r="772" spans="3:3" x14ac:dyDescent="0.25">
      <c r="C772" s="39"/>
    </row>
    <row r="773" spans="3:3" x14ac:dyDescent="0.25">
      <c r="C773" s="39"/>
    </row>
    <row r="774" spans="3:3" x14ac:dyDescent="0.25">
      <c r="C774" s="39"/>
    </row>
    <row r="775" spans="3:3" x14ac:dyDescent="0.25">
      <c r="C775" s="39"/>
    </row>
    <row r="776" spans="3:3" x14ac:dyDescent="0.25">
      <c r="C776" s="39"/>
    </row>
    <row r="777" spans="3:3" x14ac:dyDescent="0.25">
      <c r="C777" s="39"/>
    </row>
    <row r="778" spans="3:3" x14ac:dyDescent="0.25">
      <c r="C778" s="39"/>
    </row>
    <row r="779" spans="3:3" x14ac:dyDescent="0.25">
      <c r="C779" s="39"/>
    </row>
    <row r="780" spans="3:3" x14ac:dyDescent="0.25">
      <c r="C780" s="39"/>
    </row>
    <row r="781" spans="3:3" x14ac:dyDescent="0.25">
      <c r="C781" s="39"/>
    </row>
    <row r="782" spans="3:3" x14ac:dyDescent="0.25">
      <c r="C782" s="39"/>
    </row>
    <row r="783" spans="3:3" x14ac:dyDescent="0.25">
      <c r="C783" s="39"/>
    </row>
    <row r="784" spans="3:3" x14ac:dyDescent="0.25">
      <c r="C784" s="39"/>
    </row>
    <row r="785" spans="3:3" x14ac:dyDescent="0.25">
      <c r="C785" s="39"/>
    </row>
    <row r="786" spans="3:3" x14ac:dyDescent="0.25">
      <c r="C786" s="39"/>
    </row>
    <row r="787" spans="3:3" x14ac:dyDescent="0.25">
      <c r="C787" s="39"/>
    </row>
    <row r="788" spans="3:3" x14ac:dyDescent="0.25">
      <c r="C788" s="39"/>
    </row>
    <row r="789" spans="3:3" x14ac:dyDescent="0.25">
      <c r="C789" s="39"/>
    </row>
    <row r="790" spans="3:3" x14ac:dyDescent="0.25">
      <c r="C790" s="39"/>
    </row>
    <row r="791" spans="3:3" x14ac:dyDescent="0.25">
      <c r="C791" s="39"/>
    </row>
    <row r="792" spans="3:3" x14ac:dyDescent="0.25">
      <c r="C792" s="39"/>
    </row>
    <row r="793" spans="3:3" x14ac:dyDescent="0.25">
      <c r="C793" s="39"/>
    </row>
    <row r="794" spans="3:3" x14ac:dyDescent="0.25">
      <c r="C794" s="39"/>
    </row>
    <row r="795" spans="3:3" x14ac:dyDescent="0.25">
      <c r="C795" s="39"/>
    </row>
    <row r="796" spans="3:3" x14ac:dyDescent="0.25">
      <c r="C796" s="39"/>
    </row>
    <row r="797" spans="3:3" x14ac:dyDescent="0.25">
      <c r="C797" s="39"/>
    </row>
    <row r="798" spans="3:3" x14ac:dyDescent="0.25">
      <c r="C798" s="39"/>
    </row>
    <row r="799" spans="3:3" x14ac:dyDescent="0.25">
      <c r="C799" s="39"/>
    </row>
    <row r="800" spans="3:3" x14ac:dyDescent="0.25">
      <c r="C800" s="39"/>
    </row>
    <row r="801" spans="3:3" x14ac:dyDescent="0.25">
      <c r="C801" s="39"/>
    </row>
    <row r="802" spans="3:3" x14ac:dyDescent="0.25">
      <c r="C802" s="39"/>
    </row>
    <row r="803" spans="3:3" x14ac:dyDescent="0.25">
      <c r="C803" s="39"/>
    </row>
    <row r="804" spans="3:3" x14ac:dyDescent="0.25">
      <c r="C804" s="39"/>
    </row>
    <row r="805" spans="3:3" x14ac:dyDescent="0.25">
      <c r="C805" s="39"/>
    </row>
    <row r="806" spans="3:3" x14ac:dyDescent="0.25">
      <c r="C806" s="39"/>
    </row>
    <row r="807" spans="3:3" x14ac:dyDescent="0.25">
      <c r="C807" s="39"/>
    </row>
    <row r="808" spans="3:3" x14ac:dyDescent="0.25">
      <c r="C808" s="39"/>
    </row>
    <row r="809" spans="3:3" x14ac:dyDescent="0.25">
      <c r="C809" s="39"/>
    </row>
    <row r="810" spans="3:3" x14ac:dyDescent="0.25">
      <c r="C810" s="39"/>
    </row>
    <row r="811" spans="3:3" x14ac:dyDescent="0.25">
      <c r="C811" s="39"/>
    </row>
    <row r="812" spans="3:3" x14ac:dyDescent="0.25">
      <c r="C812" s="39"/>
    </row>
    <row r="813" spans="3:3" x14ac:dyDescent="0.25">
      <c r="C813" s="39"/>
    </row>
    <row r="814" spans="3:3" x14ac:dyDescent="0.25">
      <c r="C814" s="39"/>
    </row>
    <row r="815" spans="3:3" x14ac:dyDescent="0.25">
      <c r="C815" s="39"/>
    </row>
    <row r="816" spans="3:3" x14ac:dyDescent="0.25">
      <c r="C816" s="39"/>
    </row>
    <row r="817" spans="3:3" x14ac:dyDescent="0.25">
      <c r="C817" s="39"/>
    </row>
    <row r="818" spans="3:3" x14ac:dyDescent="0.25">
      <c r="C818" s="39"/>
    </row>
    <row r="819" spans="3:3" x14ac:dyDescent="0.25">
      <c r="C819" s="39"/>
    </row>
    <row r="820" spans="3:3" x14ac:dyDescent="0.25">
      <c r="C820" s="39"/>
    </row>
    <row r="821" spans="3:3" x14ac:dyDescent="0.25">
      <c r="C821" s="39"/>
    </row>
    <row r="822" spans="3:3" x14ac:dyDescent="0.25">
      <c r="C822" s="39"/>
    </row>
    <row r="823" spans="3:3" x14ac:dyDescent="0.25">
      <c r="C823" s="39"/>
    </row>
    <row r="824" spans="3:3" x14ac:dyDescent="0.25">
      <c r="C824" s="39"/>
    </row>
    <row r="825" spans="3:3" x14ac:dyDescent="0.25">
      <c r="C825" s="39"/>
    </row>
    <row r="826" spans="3:3" x14ac:dyDescent="0.25">
      <c r="C826" s="39"/>
    </row>
    <row r="827" spans="3:3" x14ac:dyDescent="0.25">
      <c r="C827" s="39"/>
    </row>
    <row r="828" spans="3:3" x14ac:dyDescent="0.25">
      <c r="C828" s="39"/>
    </row>
    <row r="829" spans="3:3" x14ac:dyDescent="0.25">
      <c r="C829" s="39"/>
    </row>
    <row r="830" spans="3:3" x14ac:dyDescent="0.25">
      <c r="C830" s="39"/>
    </row>
    <row r="831" spans="3:3" x14ac:dyDescent="0.25">
      <c r="C831" s="39"/>
    </row>
    <row r="832" spans="3:3" x14ac:dyDescent="0.25">
      <c r="C832" s="39"/>
    </row>
    <row r="833" spans="3:3" x14ac:dyDescent="0.25">
      <c r="C833" s="39"/>
    </row>
    <row r="834" spans="3:3" x14ac:dyDescent="0.25">
      <c r="C834" s="39"/>
    </row>
    <row r="835" spans="3:3" x14ac:dyDescent="0.25">
      <c r="C835" s="39"/>
    </row>
    <row r="836" spans="3:3" x14ac:dyDescent="0.25">
      <c r="C836" s="39"/>
    </row>
    <row r="837" spans="3:3" x14ac:dyDescent="0.25">
      <c r="C837" s="39"/>
    </row>
    <row r="838" spans="3:3" x14ac:dyDescent="0.25">
      <c r="C838" s="39"/>
    </row>
    <row r="839" spans="3:3" x14ac:dyDescent="0.25">
      <c r="C839" s="39"/>
    </row>
    <row r="840" spans="3:3" x14ac:dyDescent="0.25">
      <c r="C840" s="39"/>
    </row>
    <row r="841" spans="3:3" x14ac:dyDescent="0.25">
      <c r="C841" s="39"/>
    </row>
    <row r="842" spans="3:3" x14ac:dyDescent="0.25">
      <c r="C842" s="39"/>
    </row>
    <row r="843" spans="3:3" x14ac:dyDescent="0.25">
      <c r="C843" s="39"/>
    </row>
    <row r="844" spans="3:3" x14ac:dyDescent="0.25">
      <c r="C844" s="39"/>
    </row>
    <row r="845" spans="3:3" x14ac:dyDescent="0.25">
      <c r="C845" s="39"/>
    </row>
    <row r="846" spans="3:3" x14ac:dyDescent="0.25">
      <c r="C846" s="39"/>
    </row>
    <row r="847" spans="3:3" x14ac:dyDescent="0.25">
      <c r="C847" s="39"/>
    </row>
    <row r="848" spans="3:3" x14ac:dyDescent="0.25">
      <c r="C848" s="39"/>
    </row>
    <row r="849" spans="3:3" x14ac:dyDescent="0.25">
      <c r="C849" s="39"/>
    </row>
    <row r="850" spans="3:3" x14ac:dyDescent="0.25">
      <c r="C850" s="39"/>
    </row>
    <row r="851" spans="3:3" x14ac:dyDescent="0.25">
      <c r="C851" s="39"/>
    </row>
    <row r="852" spans="3:3" x14ac:dyDescent="0.25">
      <c r="C852" s="39"/>
    </row>
    <row r="853" spans="3:3" x14ac:dyDescent="0.25">
      <c r="C853" s="39"/>
    </row>
    <row r="854" spans="3:3" x14ac:dyDescent="0.25">
      <c r="C854" s="39"/>
    </row>
    <row r="855" spans="3:3" x14ac:dyDescent="0.25">
      <c r="C855" s="39"/>
    </row>
    <row r="856" spans="3:3" x14ac:dyDescent="0.25">
      <c r="C856" s="39"/>
    </row>
    <row r="857" spans="3:3" x14ac:dyDescent="0.25">
      <c r="C857" s="39"/>
    </row>
    <row r="858" spans="3:3" x14ac:dyDescent="0.25">
      <c r="C858" s="39"/>
    </row>
    <row r="859" spans="3:3" x14ac:dyDescent="0.25">
      <c r="C859" s="39"/>
    </row>
    <row r="860" spans="3:3" x14ac:dyDescent="0.25">
      <c r="C860" s="39"/>
    </row>
    <row r="861" spans="3:3" x14ac:dyDescent="0.25">
      <c r="C861" s="39"/>
    </row>
    <row r="862" spans="3:3" x14ac:dyDescent="0.25">
      <c r="C862" s="39"/>
    </row>
    <row r="863" spans="3:3" x14ac:dyDescent="0.25">
      <c r="C863" s="39"/>
    </row>
    <row r="864" spans="3:3" x14ac:dyDescent="0.25">
      <c r="C864" s="39"/>
    </row>
    <row r="865" spans="3:3" x14ac:dyDescent="0.25">
      <c r="C865" s="39"/>
    </row>
    <row r="866" spans="3:3" x14ac:dyDescent="0.25">
      <c r="C866" s="39"/>
    </row>
    <row r="867" spans="3:3" x14ac:dyDescent="0.25">
      <c r="C867" s="39"/>
    </row>
    <row r="868" spans="3:3" x14ac:dyDescent="0.25">
      <c r="C868" s="39"/>
    </row>
    <row r="869" spans="3:3" x14ac:dyDescent="0.25">
      <c r="C869" s="39"/>
    </row>
    <row r="870" spans="3:3" x14ac:dyDescent="0.25">
      <c r="C870" s="39"/>
    </row>
    <row r="871" spans="3:3" x14ac:dyDescent="0.25">
      <c r="C871" s="39"/>
    </row>
    <row r="872" spans="3:3" x14ac:dyDescent="0.25">
      <c r="C872" s="39"/>
    </row>
    <row r="873" spans="3:3" x14ac:dyDescent="0.25">
      <c r="C873" s="39"/>
    </row>
    <row r="874" spans="3:3" x14ac:dyDescent="0.25">
      <c r="C874" s="39"/>
    </row>
    <row r="875" spans="3:3" x14ac:dyDescent="0.25">
      <c r="C875" s="39"/>
    </row>
    <row r="876" spans="3:3" x14ac:dyDescent="0.25">
      <c r="C876" s="39"/>
    </row>
    <row r="877" spans="3:3" x14ac:dyDescent="0.25">
      <c r="C877" s="39"/>
    </row>
    <row r="878" spans="3:3" x14ac:dyDescent="0.25">
      <c r="C878" s="39"/>
    </row>
    <row r="879" spans="3:3" x14ac:dyDescent="0.25">
      <c r="C879" s="39"/>
    </row>
    <row r="880" spans="3:3" x14ac:dyDescent="0.25">
      <c r="C880" s="39"/>
    </row>
    <row r="881" spans="3:3" x14ac:dyDescent="0.25">
      <c r="C881" s="39"/>
    </row>
    <row r="882" spans="3:3" x14ac:dyDescent="0.25">
      <c r="C882" s="39"/>
    </row>
    <row r="883" spans="3:3" x14ac:dyDescent="0.25">
      <c r="C883" s="39"/>
    </row>
    <row r="884" spans="3:3" x14ac:dyDescent="0.25">
      <c r="C884" s="39"/>
    </row>
    <row r="885" spans="3:3" x14ac:dyDescent="0.25">
      <c r="C885" s="39"/>
    </row>
    <row r="886" spans="3:3" x14ac:dyDescent="0.25">
      <c r="C886" s="39"/>
    </row>
    <row r="887" spans="3:3" x14ac:dyDescent="0.25">
      <c r="C887" s="39"/>
    </row>
    <row r="888" spans="3:3" x14ac:dyDescent="0.25">
      <c r="C888" s="39"/>
    </row>
    <row r="889" spans="3:3" x14ac:dyDescent="0.25">
      <c r="C889" s="39"/>
    </row>
    <row r="890" spans="3:3" x14ac:dyDescent="0.25">
      <c r="C890" s="39"/>
    </row>
    <row r="891" spans="3:3" x14ac:dyDescent="0.25">
      <c r="C891" s="39"/>
    </row>
    <row r="892" spans="3:3" x14ac:dyDescent="0.25">
      <c r="C892" s="39"/>
    </row>
    <row r="893" spans="3:3" x14ac:dyDescent="0.25">
      <c r="C893" s="39"/>
    </row>
    <row r="894" spans="3:3" x14ac:dyDescent="0.25">
      <c r="C894" s="39"/>
    </row>
    <row r="895" spans="3:3" x14ac:dyDescent="0.25">
      <c r="C895" s="39"/>
    </row>
    <row r="896" spans="3:3" x14ac:dyDescent="0.25">
      <c r="C896" s="39"/>
    </row>
    <row r="897" spans="3:3" x14ac:dyDescent="0.25">
      <c r="C897" s="39"/>
    </row>
    <row r="898" spans="3:3" x14ac:dyDescent="0.25">
      <c r="C898" s="39"/>
    </row>
    <row r="899" spans="3:3" x14ac:dyDescent="0.25">
      <c r="C899" s="39"/>
    </row>
    <row r="900" spans="3:3" x14ac:dyDescent="0.25">
      <c r="C900" s="39"/>
    </row>
    <row r="901" spans="3:3" x14ac:dyDescent="0.25">
      <c r="C901" s="39"/>
    </row>
    <row r="902" spans="3:3" x14ac:dyDescent="0.25">
      <c r="C902" s="39"/>
    </row>
    <row r="903" spans="3:3" x14ac:dyDescent="0.25">
      <c r="C903" s="39"/>
    </row>
  </sheetData>
  <mergeCells count="2">
    <mergeCell ref="C1:G1"/>
    <mergeCell ref="A48:F48"/>
  </mergeCells>
  <pageMargins left="0.51181102362204722" right="0.39370078740157483" top="0.94488188976377963" bottom="0.74803149606299213" header="0.23622047244094491" footer="0.31496062992125984"/>
  <pageSetup paperSize="9" firstPageNumber="24"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D</oddHeader>
    <oddFooter>&amp;L&amp;"Arial,Regular"&amp;9Bill of Quantities&amp;R&amp;"Arial,Regular"&amp;9BOQ.&amp;P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EBDDF-53DD-415C-A57E-6315E9D6796F}">
  <dimension ref="A1:O1299"/>
  <sheetViews>
    <sheetView view="pageBreakPreview" topLeftCell="A340" zoomScale="130" zoomScaleNormal="115" zoomScaleSheetLayoutView="130" workbookViewId="0">
      <selection activeCell="C354" sqref="C354"/>
    </sheetView>
  </sheetViews>
  <sheetFormatPr defaultColWidth="7.5703125" defaultRowHeight="12" x14ac:dyDescent="0.25"/>
  <cols>
    <col min="1" max="1" width="7.140625" style="315" customWidth="1"/>
    <col min="2" max="2" width="9.42578125" style="315" customWidth="1"/>
    <col min="3" max="3" width="37.5703125" style="327" customWidth="1"/>
    <col min="4" max="4" width="5.5703125" style="315" customWidth="1"/>
    <col min="5" max="5" width="6.85546875" style="321" bestFit="1" customWidth="1"/>
    <col min="6" max="6" width="10.28515625" style="322" customWidth="1"/>
    <col min="7" max="7" width="16.7109375" style="315" customWidth="1"/>
    <col min="8" max="16384" width="7.5703125" style="21"/>
  </cols>
  <sheetData>
    <row r="1" spans="1:7" ht="15" customHeight="1" x14ac:dyDescent="0.25">
      <c r="A1" s="89"/>
      <c r="B1" s="30"/>
      <c r="C1" s="528" t="s">
        <v>436</v>
      </c>
      <c r="D1" s="528"/>
      <c r="E1" s="528"/>
      <c r="F1" s="528"/>
      <c r="G1" s="529"/>
    </row>
    <row r="2" spans="1:7" ht="27.75" customHeight="1" x14ac:dyDescent="0.25">
      <c r="A2" s="31" t="s">
        <v>91</v>
      </c>
      <c r="B2" s="31" t="s">
        <v>21</v>
      </c>
      <c r="C2" s="148" t="s">
        <v>0</v>
      </c>
      <c r="D2" s="73" t="s">
        <v>1</v>
      </c>
      <c r="E2" s="74" t="s">
        <v>22</v>
      </c>
      <c r="F2" s="75" t="s">
        <v>2</v>
      </c>
      <c r="G2" s="73" t="s">
        <v>77</v>
      </c>
    </row>
    <row r="3" spans="1:7" ht="12" customHeight="1" x14ac:dyDescent="0.25">
      <c r="A3" s="406"/>
      <c r="B3" s="418"/>
      <c r="C3" s="408"/>
      <c r="D3" s="408"/>
      <c r="E3" s="409"/>
      <c r="F3" s="410"/>
      <c r="G3" s="408"/>
    </row>
    <row r="4" spans="1:7" ht="24" x14ac:dyDescent="0.25">
      <c r="A4" s="312" t="s">
        <v>135</v>
      </c>
      <c r="B4" s="283"/>
      <c r="C4" s="284" t="s">
        <v>608</v>
      </c>
      <c r="D4" s="229"/>
      <c r="E4" s="295"/>
      <c r="F4" s="317"/>
      <c r="G4" s="324"/>
    </row>
    <row r="5" spans="1:7" x14ac:dyDescent="0.25">
      <c r="A5" s="419"/>
      <c r="B5" s="400"/>
      <c r="C5" s="420"/>
      <c r="D5" s="414"/>
      <c r="E5" s="415"/>
      <c r="F5" s="416"/>
      <c r="G5" s="421"/>
    </row>
    <row r="6" spans="1:7" x14ac:dyDescent="0.25">
      <c r="A6" s="312"/>
      <c r="B6" s="283"/>
      <c r="C6" s="135" t="s">
        <v>1022</v>
      </c>
      <c r="D6" s="229"/>
      <c r="E6" s="295"/>
      <c r="F6" s="317"/>
      <c r="G6" s="324"/>
    </row>
    <row r="7" spans="1:7" ht="12" customHeight="1" x14ac:dyDescent="0.25">
      <c r="A7" s="419"/>
      <c r="B7" s="400"/>
      <c r="C7" s="420"/>
      <c r="D7" s="414"/>
      <c r="E7" s="415"/>
      <c r="F7" s="416"/>
      <c r="G7" s="421"/>
    </row>
    <row r="8" spans="1:7" ht="120" x14ac:dyDescent="0.25">
      <c r="A8" s="248" t="s">
        <v>545</v>
      </c>
      <c r="B8" s="210" t="s">
        <v>2172</v>
      </c>
      <c r="C8" s="119" t="s">
        <v>2352</v>
      </c>
      <c r="D8" s="210" t="s">
        <v>28</v>
      </c>
      <c r="E8" s="186">
        <v>1</v>
      </c>
      <c r="F8" s="320"/>
      <c r="G8" s="255"/>
    </row>
    <row r="9" spans="1:7" ht="12" customHeight="1" x14ac:dyDescent="0.25">
      <c r="A9" s="419"/>
      <c r="B9" s="400"/>
      <c r="C9" s="420"/>
      <c r="D9" s="414"/>
      <c r="E9" s="415"/>
      <c r="F9" s="416"/>
      <c r="G9" s="421"/>
    </row>
    <row r="10" spans="1:7" ht="96" x14ac:dyDescent="0.25">
      <c r="A10" s="248" t="s">
        <v>546</v>
      </c>
      <c r="B10" s="210" t="s">
        <v>2163</v>
      </c>
      <c r="C10" s="119" t="s">
        <v>538</v>
      </c>
      <c r="D10" s="210" t="s">
        <v>28</v>
      </c>
      <c r="E10" s="211">
        <v>1</v>
      </c>
      <c r="F10" s="234"/>
      <c r="G10" s="255"/>
    </row>
    <row r="11" spans="1:7" x14ac:dyDescent="0.25">
      <c r="A11" s="419"/>
      <c r="B11" s="400"/>
      <c r="C11" s="420"/>
      <c r="D11" s="414"/>
      <c r="E11" s="415"/>
      <c r="F11" s="416"/>
      <c r="G11" s="421"/>
    </row>
    <row r="12" spans="1:7" ht="36" x14ac:dyDescent="0.25">
      <c r="A12" s="248" t="s">
        <v>547</v>
      </c>
      <c r="B12" s="210" t="s">
        <v>2165</v>
      </c>
      <c r="C12" s="119" t="s">
        <v>2166</v>
      </c>
      <c r="D12" s="210" t="s">
        <v>92</v>
      </c>
      <c r="E12" s="211">
        <v>5</v>
      </c>
      <c r="F12" s="234"/>
      <c r="G12" s="255"/>
    </row>
    <row r="13" spans="1:7" ht="12" customHeight="1" x14ac:dyDescent="0.25">
      <c r="A13" s="419"/>
      <c r="B13" s="400"/>
      <c r="C13" s="420"/>
      <c r="D13" s="414"/>
      <c r="E13" s="415"/>
      <c r="F13" s="416"/>
      <c r="G13" s="421"/>
    </row>
    <row r="14" spans="1:7" ht="36" x14ac:dyDescent="0.25">
      <c r="A14" s="248" t="s">
        <v>548</v>
      </c>
      <c r="B14" s="210" t="s">
        <v>2173</v>
      </c>
      <c r="C14" s="119" t="s">
        <v>1109</v>
      </c>
      <c r="D14" s="210" t="s">
        <v>28</v>
      </c>
      <c r="E14" s="211">
        <v>1</v>
      </c>
      <c r="F14" s="234"/>
      <c r="G14" s="255"/>
    </row>
    <row r="15" spans="1:7" ht="12" customHeight="1" x14ac:dyDescent="0.25">
      <c r="A15" s="419"/>
      <c r="B15" s="400"/>
      <c r="C15" s="420"/>
      <c r="D15" s="414"/>
      <c r="E15" s="415"/>
      <c r="F15" s="416"/>
      <c r="G15" s="421"/>
    </row>
    <row r="16" spans="1:7" ht="24" x14ac:dyDescent="0.25">
      <c r="A16" s="313" t="s">
        <v>549</v>
      </c>
      <c r="B16" s="207" t="s">
        <v>2174</v>
      </c>
      <c r="C16" s="218" t="s">
        <v>539</v>
      </c>
      <c r="D16" s="229"/>
      <c r="E16" s="211"/>
      <c r="F16" s="234"/>
      <c r="G16" s="232"/>
    </row>
    <row r="17" spans="1:8" ht="12" customHeight="1" x14ac:dyDescent="0.25">
      <c r="A17" s="419"/>
      <c r="B17" s="400"/>
      <c r="C17" s="420"/>
      <c r="D17" s="414"/>
      <c r="E17" s="415"/>
      <c r="F17" s="416"/>
      <c r="G17" s="421"/>
    </row>
    <row r="18" spans="1:8" ht="24" x14ac:dyDescent="0.25">
      <c r="A18" s="248" t="s">
        <v>2177</v>
      </c>
      <c r="B18" s="207"/>
      <c r="C18" s="119" t="s">
        <v>540</v>
      </c>
      <c r="D18" s="210" t="s">
        <v>8</v>
      </c>
      <c r="E18" s="186">
        <v>1</v>
      </c>
      <c r="F18" s="320"/>
      <c r="G18" s="255"/>
    </row>
    <row r="19" spans="1:8" ht="12" customHeight="1" x14ac:dyDescent="0.25">
      <c r="A19" s="419"/>
      <c r="B19" s="400"/>
      <c r="C19" s="420"/>
      <c r="D19" s="414"/>
      <c r="E19" s="415"/>
      <c r="F19" s="416"/>
      <c r="G19" s="421"/>
    </row>
    <row r="20" spans="1:8" ht="24" x14ac:dyDescent="0.25">
      <c r="A20" s="248" t="s">
        <v>2178</v>
      </c>
      <c r="B20" s="229"/>
      <c r="C20" s="119" t="s">
        <v>541</v>
      </c>
      <c r="D20" s="210" t="s">
        <v>8</v>
      </c>
      <c r="E20" s="211">
        <v>1</v>
      </c>
      <c r="F20" s="234"/>
      <c r="G20" s="255"/>
    </row>
    <row r="21" spans="1:8" ht="12" customHeight="1" x14ac:dyDescent="0.25">
      <c r="A21" s="419"/>
      <c r="B21" s="400"/>
      <c r="C21" s="420"/>
      <c r="D21" s="414"/>
      <c r="E21" s="415"/>
      <c r="F21" s="416"/>
      <c r="G21" s="421"/>
    </row>
    <row r="22" spans="1:8" ht="24" x14ac:dyDescent="0.25">
      <c r="A22" s="248" t="s">
        <v>2179</v>
      </c>
      <c r="B22" s="207"/>
      <c r="C22" s="119" t="s">
        <v>542</v>
      </c>
      <c r="D22" s="210" t="s">
        <v>8</v>
      </c>
      <c r="E22" s="211">
        <v>1</v>
      </c>
      <c r="F22" s="234"/>
      <c r="G22" s="255"/>
    </row>
    <row r="23" spans="1:8" ht="12" customHeight="1" x14ac:dyDescent="0.25">
      <c r="A23" s="419"/>
      <c r="B23" s="400"/>
      <c r="C23" s="420"/>
      <c r="D23" s="414"/>
      <c r="E23" s="415"/>
      <c r="F23" s="416"/>
      <c r="G23" s="421"/>
    </row>
    <row r="24" spans="1:8" ht="36" x14ac:dyDescent="0.25">
      <c r="A24" s="248" t="s">
        <v>1104</v>
      </c>
      <c r="B24" s="210" t="s">
        <v>2175</v>
      </c>
      <c r="C24" s="119" t="s">
        <v>543</v>
      </c>
      <c r="D24" s="210" t="s">
        <v>88</v>
      </c>
      <c r="E24" s="211">
        <v>1800</v>
      </c>
      <c r="F24" s="234"/>
      <c r="G24" s="255"/>
    </row>
    <row r="25" spans="1:8" ht="12" customHeight="1" x14ac:dyDescent="0.25">
      <c r="A25" s="419"/>
      <c r="B25" s="400"/>
      <c r="C25" s="420"/>
      <c r="D25" s="414"/>
      <c r="E25" s="415"/>
      <c r="F25" s="416"/>
      <c r="G25" s="421"/>
    </row>
    <row r="26" spans="1:8" ht="36" x14ac:dyDescent="0.25">
      <c r="A26" s="248" t="s">
        <v>2180</v>
      </c>
      <c r="B26" s="210" t="s">
        <v>2176</v>
      </c>
      <c r="C26" s="233" t="s">
        <v>544</v>
      </c>
      <c r="D26" s="210" t="s">
        <v>88</v>
      </c>
      <c r="E26" s="211">
        <v>180</v>
      </c>
      <c r="F26" s="234"/>
      <c r="G26" s="255"/>
    </row>
    <row r="27" spans="1:8" ht="12" customHeight="1" x14ac:dyDescent="0.25">
      <c r="A27" s="419"/>
      <c r="B27" s="400"/>
      <c r="C27" s="420"/>
      <c r="D27" s="414"/>
      <c r="E27" s="415"/>
      <c r="F27" s="416"/>
      <c r="G27" s="421"/>
    </row>
    <row r="28" spans="1:8" x14ac:dyDescent="0.25">
      <c r="A28" s="248"/>
      <c r="B28" s="210"/>
      <c r="C28" s="233"/>
      <c r="D28" s="142"/>
      <c r="E28" s="211"/>
      <c r="F28" s="234"/>
      <c r="G28" s="255"/>
    </row>
    <row r="29" spans="1:8" ht="12" customHeight="1" x14ac:dyDescent="0.25">
      <c r="A29" s="419"/>
      <c r="B29" s="400"/>
      <c r="C29" s="420"/>
      <c r="D29" s="414"/>
      <c r="E29" s="415"/>
      <c r="F29" s="416"/>
      <c r="G29" s="421"/>
    </row>
    <row r="30" spans="1:8" s="120" customFormat="1" ht="28.5" customHeight="1" x14ac:dyDescent="0.25">
      <c r="A30" s="526" t="s">
        <v>1361</v>
      </c>
      <c r="B30" s="526"/>
      <c r="C30" s="526"/>
      <c r="D30" s="526"/>
      <c r="E30" s="526"/>
      <c r="F30" s="526"/>
      <c r="G30" s="188"/>
      <c r="H30" s="164"/>
    </row>
    <row r="31" spans="1:8" ht="12" customHeight="1" x14ac:dyDescent="0.25">
      <c r="A31" s="419"/>
      <c r="B31" s="400"/>
      <c r="C31" s="420"/>
      <c r="D31" s="414"/>
      <c r="E31" s="415"/>
      <c r="F31" s="416"/>
      <c r="G31" s="421"/>
    </row>
    <row r="32" spans="1:8" ht="12" customHeight="1" x14ac:dyDescent="0.25">
      <c r="A32" s="312" t="s">
        <v>136</v>
      </c>
      <c r="B32" s="283"/>
      <c r="C32" s="284" t="s">
        <v>1107</v>
      </c>
      <c r="D32" s="290"/>
      <c r="E32" s="241"/>
      <c r="F32" s="242"/>
      <c r="G32" s="325"/>
    </row>
    <row r="33" spans="1:7" ht="12" customHeight="1" x14ac:dyDescent="0.25">
      <c r="A33" s="419"/>
      <c r="B33" s="400"/>
      <c r="C33" s="420"/>
      <c r="D33" s="414"/>
      <c r="E33" s="415"/>
      <c r="F33" s="416"/>
      <c r="G33" s="421"/>
    </row>
    <row r="34" spans="1:7" ht="24" x14ac:dyDescent="0.25">
      <c r="A34" s="231" t="s">
        <v>551</v>
      </c>
      <c r="B34" s="207" t="s">
        <v>14</v>
      </c>
      <c r="C34" s="38" t="s">
        <v>241</v>
      </c>
      <c r="D34" s="290"/>
      <c r="E34" s="241"/>
      <c r="F34" s="242"/>
      <c r="G34" s="325"/>
    </row>
    <row r="35" spans="1:7" ht="12" customHeight="1" x14ac:dyDescent="0.25">
      <c r="A35" s="419"/>
      <c r="B35" s="400"/>
      <c r="C35" s="420"/>
      <c r="D35" s="414"/>
      <c r="E35" s="415"/>
      <c r="F35" s="416"/>
      <c r="G35" s="421"/>
    </row>
    <row r="36" spans="1:7" ht="36" x14ac:dyDescent="0.25">
      <c r="A36" s="249" t="s">
        <v>1266</v>
      </c>
      <c r="B36" s="210" t="s">
        <v>2181</v>
      </c>
      <c r="C36" s="233" t="s">
        <v>1105</v>
      </c>
      <c r="D36" s="142" t="s">
        <v>28</v>
      </c>
      <c r="E36" s="211">
        <v>1</v>
      </c>
      <c r="F36" s="234"/>
      <c r="G36" s="255"/>
    </row>
    <row r="37" spans="1:7" ht="12" customHeight="1" x14ac:dyDescent="0.25">
      <c r="A37" s="419"/>
      <c r="B37" s="400"/>
      <c r="C37" s="420"/>
      <c r="D37" s="414"/>
      <c r="E37" s="415"/>
      <c r="F37" s="416"/>
      <c r="G37" s="421"/>
    </row>
    <row r="38" spans="1:7" ht="36" x14ac:dyDescent="0.25">
      <c r="A38" s="249" t="s">
        <v>1265</v>
      </c>
      <c r="B38" s="210" t="s">
        <v>2181</v>
      </c>
      <c r="C38" s="119" t="s">
        <v>1106</v>
      </c>
      <c r="D38" s="142" t="s">
        <v>28</v>
      </c>
      <c r="E38" s="211">
        <v>1</v>
      </c>
      <c r="F38" s="234"/>
      <c r="G38" s="255"/>
    </row>
    <row r="39" spans="1:7" ht="12" customHeight="1" x14ac:dyDescent="0.25">
      <c r="A39" s="419"/>
      <c r="B39" s="400"/>
      <c r="C39" s="420"/>
      <c r="D39" s="414"/>
      <c r="E39" s="415"/>
      <c r="F39" s="416"/>
      <c r="G39" s="421"/>
    </row>
    <row r="40" spans="1:7" ht="24" x14ac:dyDescent="0.25">
      <c r="A40" s="293" t="s">
        <v>559</v>
      </c>
      <c r="B40" s="207" t="s">
        <v>148</v>
      </c>
      <c r="C40" s="38" t="s">
        <v>422</v>
      </c>
      <c r="D40" s="290"/>
      <c r="E40" s="211"/>
      <c r="F40" s="234"/>
      <c r="G40" s="232"/>
    </row>
    <row r="41" spans="1:7" ht="12" customHeight="1" x14ac:dyDescent="0.25">
      <c r="A41" s="419"/>
      <c r="B41" s="400"/>
      <c r="C41" s="420"/>
      <c r="D41" s="414"/>
      <c r="E41" s="415"/>
      <c r="F41" s="416"/>
      <c r="G41" s="421"/>
    </row>
    <row r="42" spans="1:7" ht="12" customHeight="1" x14ac:dyDescent="0.25">
      <c r="A42" s="256"/>
      <c r="B42" s="206">
        <v>8.1999999999999993</v>
      </c>
      <c r="C42" s="218" t="s">
        <v>149</v>
      </c>
      <c r="D42" s="290"/>
      <c r="E42" s="241"/>
      <c r="F42" s="234"/>
      <c r="G42" s="232"/>
    </row>
    <row r="43" spans="1:7" ht="12" customHeight="1" x14ac:dyDescent="0.25">
      <c r="A43" s="419"/>
      <c r="B43" s="400"/>
      <c r="C43" s="420"/>
      <c r="D43" s="414"/>
      <c r="E43" s="415"/>
      <c r="F43" s="416"/>
      <c r="G43" s="421"/>
    </row>
    <row r="44" spans="1:7" ht="12" customHeight="1" x14ac:dyDescent="0.25">
      <c r="A44" s="256"/>
      <c r="B44" s="206"/>
      <c r="C44" s="154" t="s">
        <v>172</v>
      </c>
      <c r="D44" s="290"/>
      <c r="E44" s="241"/>
      <c r="F44" s="234"/>
      <c r="G44" s="232"/>
    </row>
    <row r="45" spans="1:7" ht="12" customHeight="1" x14ac:dyDescent="0.25">
      <c r="A45" s="419"/>
      <c r="B45" s="400"/>
      <c r="C45" s="420"/>
      <c r="D45" s="414"/>
      <c r="E45" s="415"/>
      <c r="F45" s="416"/>
      <c r="G45" s="421"/>
    </row>
    <row r="46" spans="1:7" ht="24" x14ac:dyDescent="0.25">
      <c r="A46" s="249" t="s">
        <v>1267</v>
      </c>
      <c r="B46" s="142" t="s">
        <v>7</v>
      </c>
      <c r="C46" s="233" t="s">
        <v>767</v>
      </c>
      <c r="D46" s="142" t="s">
        <v>87</v>
      </c>
      <c r="E46" s="211">
        <f>+ROUND((PI()*2.4*0.3)+(PI()*2*0.3),1)</f>
        <v>4.0999999999999996</v>
      </c>
      <c r="F46" s="234"/>
      <c r="G46" s="255"/>
    </row>
    <row r="47" spans="1:7" ht="12" customHeight="1" x14ac:dyDescent="0.25">
      <c r="A47" s="419"/>
      <c r="B47" s="400"/>
      <c r="C47" s="420"/>
      <c r="D47" s="414"/>
      <c r="E47" s="415"/>
      <c r="F47" s="416"/>
      <c r="G47" s="421"/>
    </row>
    <row r="48" spans="1:7" ht="12" customHeight="1" x14ac:dyDescent="0.25">
      <c r="A48" s="256"/>
      <c r="B48" s="206">
        <v>8.3000000000000007</v>
      </c>
      <c r="C48" s="218" t="s">
        <v>151</v>
      </c>
      <c r="D48" s="142"/>
      <c r="E48" s="211"/>
      <c r="F48" s="234"/>
      <c r="G48" s="255"/>
    </row>
    <row r="49" spans="1:7" ht="12" customHeight="1" x14ac:dyDescent="0.25">
      <c r="A49" s="419"/>
      <c r="B49" s="400"/>
      <c r="C49" s="420"/>
      <c r="D49" s="414"/>
      <c r="E49" s="415"/>
      <c r="F49" s="416"/>
      <c r="G49" s="421"/>
    </row>
    <row r="50" spans="1:7" ht="12" customHeight="1" x14ac:dyDescent="0.25">
      <c r="A50" s="256"/>
      <c r="B50" s="142"/>
      <c r="C50" s="258" t="s">
        <v>406</v>
      </c>
      <c r="D50" s="142"/>
      <c r="E50" s="211"/>
      <c r="F50" s="234"/>
      <c r="G50" s="255"/>
    </row>
    <row r="51" spans="1:7" ht="12" customHeight="1" x14ac:dyDescent="0.25">
      <c r="A51" s="419"/>
      <c r="B51" s="400"/>
      <c r="C51" s="420"/>
      <c r="D51" s="414"/>
      <c r="E51" s="415"/>
      <c r="F51" s="416"/>
      <c r="G51" s="421"/>
    </row>
    <row r="52" spans="1:7" ht="12" customHeight="1" x14ac:dyDescent="0.25">
      <c r="A52" s="249" t="s">
        <v>1268</v>
      </c>
      <c r="B52" s="142" t="s">
        <v>26</v>
      </c>
      <c r="C52" s="119" t="s">
        <v>769</v>
      </c>
      <c r="D52" s="142" t="s">
        <v>655</v>
      </c>
      <c r="E52" s="211">
        <v>250</v>
      </c>
      <c r="F52" s="234"/>
      <c r="G52" s="255"/>
    </row>
    <row r="53" spans="1:7" ht="12" customHeight="1" x14ac:dyDescent="0.25">
      <c r="A53" s="419"/>
      <c r="B53" s="400"/>
      <c r="C53" s="420"/>
      <c r="D53" s="414"/>
      <c r="E53" s="415"/>
      <c r="F53" s="416"/>
      <c r="G53" s="421"/>
    </row>
    <row r="54" spans="1:7" ht="36" x14ac:dyDescent="0.25">
      <c r="A54" s="249" t="s">
        <v>1269</v>
      </c>
      <c r="B54" s="210" t="s">
        <v>2182</v>
      </c>
      <c r="C54" s="119" t="s">
        <v>770</v>
      </c>
      <c r="D54" s="142" t="s">
        <v>776</v>
      </c>
      <c r="E54" s="211">
        <v>5</v>
      </c>
      <c r="F54" s="234"/>
      <c r="G54" s="255"/>
    </row>
    <row r="55" spans="1:7" ht="12" customHeight="1" x14ac:dyDescent="0.25">
      <c r="A55" s="419"/>
      <c r="B55" s="400"/>
      <c r="C55" s="420"/>
      <c r="D55" s="414"/>
      <c r="E55" s="415"/>
      <c r="F55" s="416"/>
      <c r="G55" s="421"/>
    </row>
    <row r="56" spans="1:7" ht="12" customHeight="1" x14ac:dyDescent="0.25">
      <c r="A56" s="256"/>
      <c r="B56" s="206">
        <v>8.4</v>
      </c>
      <c r="C56" s="218" t="s">
        <v>152</v>
      </c>
      <c r="D56" s="142"/>
      <c r="E56" s="211"/>
      <c r="F56" s="234"/>
      <c r="G56" s="255"/>
    </row>
    <row r="57" spans="1:7" ht="12" customHeight="1" x14ac:dyDescent="0.25">
      <c r="A57" s="419"/>
      <c r="B57" s="400"/>
      <c r="C57" s="420"/>
      <c r="D57" s="414"/>
      <c r="E57" s="415"/>
      <c r="F57" s="416"/>
      <c r="G57" s="421"/>
    </row>
    <row r="58" spans="1:7" ht="12" customHeight="1" x14ac:dyDescent="0.25">
      <c r="A58" s="249" t="s">
        <v>1270</v>
      </c>
      <c r="B58" s="142" t="s">
        <v>58</v>
      </c>
      <c r="C58" s="233" t="s">
        <v>768</v>
      </c>
      <c r="D58" s="142" t="s">
        <v>87</v>
      </c>
      <c r="E58" s="241">
        <f>+ROUND((PI()*0.25*2.2*2.2)-(PI()*0.25*2*2),1)</f>
        <v>0.7</v>
      </c>
      <c r="F58" s="234"/>
      <c r="G58" s="255"/>
    </row>
    <row r="59" spans="1:7" ht="12" customHeight="1" x14ac:dyDescent="0.25">
      <c r="A59" s="419"/>
      <c r="B59" s="400"/>
      <c r="C59" s="420"/>
      <c r="D59" s="414"/>
      <c r="E59" s="415"/>
      <c r="F59" s="416"/>
      <c r="G59" s="421"/>
    </row>
    <row r="60" spans="1:7" ht="12" customHeight="1" x14ac:dyDescent="0.25">
      <c r="A60" s="256"/>
      <c r="B60" s="206">
        <v>8.6999999999999993</v>
      </c>
      <c r="C60" s="218" t="s">
        <v>773</v>
      </c>
      <c r="D60" s="142"/>
      <c r="E60" s="241"/>
      <c r="F60" s="234"/>
      <c r="G60" s="255"/>
    </row>
    <row r="61" spans="1:7" ht="12" customHeight="1" x14ac:dyDescent="0.25">
      <c r="A61" s="419"/>
      <c r="B61" s="400"/>
      <c r="C61" s="420"/>
      <c r="D61" s="414"/>
      <c r="E61" s="415"/>
      <c r="F61" s="416"/>
      <c r="G61" s="421"/>
    </row>
    <row r="62" spans="1:7" ht="48" x14ac:dyDescent="0.25">
      <c r="A62" s="249" t="s">
        <v>1271</v>
      </c>
      <c r="B62" s="210" t="s">
        <v>2183</v>
      </c>
      <c r="C62" s="233" t="s">
        <v>774</v>
      </c>
      <c r="D62" s="142" t="s">
        <v>88</v>
      </c>
      <c r="E62" s="241">
        <f>+ROUND(ROUND((PI()*0.25*2.4*2.4)-(PI()*0.25*2*2),1)*0.3,1)</f>
        <v>0.4</v>
      </c>
      <c r="F62" s="234"/>
      <c r="G62" s="255"/>
    </row>
    <row r="63" spans="1:7" ht="12" customHeight="1" x14ac:dyDescent="0.25">
      <c r="A63" s="419"/>
      <c r="B63" s="400"/>
      <c r="C63" s="420"/>
      <c r="D63" s="414"/>
      <c r="E63" s="415"/>
      <c r="F63" s="416"/>
      <c r="G63" s="421"/>
    </row>
    <row r="64" spans="1:7" ht="12" customHeight="1" x14ac:dyDescent="0.25">
      <c r="A64" s="256"/>
      <c r="B64" s="207"/>
      <c r="C64" s="38"/>
      <c r="D64" s="290"/>
      <c r="E64" s="241"/>
      <c r="F64" s="242"/>
      <c r="G64" s="325"/>
    </row>
    <row r="65" spans="1:8" ht="12" customHeight="1" x14ac:dyDescent="0.25">
      <c r="A65" s="419"/>
      <c r="B65" s="400"/>
      <c r="C65" s="420"/>
      <c r="D65" s="414"/>
      <c r="E65" s="415"/>
      <c r="F65" s="416"/>
      <c r="G65" s="421"/>
    </row>
    <row r="66" spans="1:8" ht="12" customHeight="1" x14ac:dyDescent="0.25">
      <c r="A66" s="256"/>
      <c r="B66" s="207"/>
      <c r="C66" s="38"/>
      <c r="D66" s="290"/>
      <c r="E66" s="241"/>
      <c r="F66" s="242"/>
      <c r="G66" s="325"/>
    </row>
    <row r="67" spans="1:8" ht="12" customHeight="1" x14ac:dyDescent="0.25">
      <c r="A67" s="419"/>
      <c r="B67" s="400"/>
      <c r="C67" s="420"/>
      <c r="D67" s="414"/>
      <c r="E67" s="415"/>
      <c r="F67" s="416"/>
      <c r="G67" s="421"/>
    </row>
    <row r="68" spans="1:8" ht="12" customHeight="1" x14ac:dyDescent="0.25">
      <c r="A68" s="256"/>
      <c r="B68" s="207"/>
      <c r="C68" s="38"/>
      <c r="D68" s="290"/>
      <c r="E68" s="241"/>
      <c r="F68" s="242"/>
      <c r="G68" s="325"/>
    </row>
    <row r="69" spans="1:8" ht="12" customHeight="1" x14ac:dyDescent="0.25">
      <c r="A69" s="419"/>
      <c r="B69" s="400"/>
      <c r="C69" s="420"/>
      <c r="D69" s="414"/>
      <c r="E69" s="415"/>
      <c r="F69" s="416"/>
      <c r="G69" s="421"/>
    </row>
    <row r="70" spans="1:8" ht="12" customHeight="1" x14ac:dyDescent="0.25">
      <c r="A70" s="256"/>
      <c r="B70" s="207"/>
      <c r="C70" s="38"/>
      <c r="D70" s="290"/>
      <c r="E70" s="241"/>
      <c r="F70" s="242"/>
      <c r="G70" s="325"/>
    </row>
    <row r="71" spans="1:8" ht="12" customHeight="1" x14ac:dyDescent="0.25">
      <c r="A71" s="419"/>
      <c r="B71" s="400"/>
      <c r="C71" s="420"/>
      <c r="D71" s="414"/>
      <c r="E71" s="415"/>
      <c r="F71" s="416"/>
      <c r="G71" s="421"/>
    </row>
    <row r="72" spans="1:8" ht="12" customHeight="1" x14ac:dyDescent="0.25">
      <c r="A72" s="256"/>
      <c r="B72" s="207"/>
      <c r="C72" s="38"/>
      <c r="D72" s="290"/>
      <c r="E72" s="241"/>
      <c r="F72" s="242"/>
      <c r="G72" s="325"/>
    </row>
    <row r="73" spans="1:8" ht="12" customHeight="1" x14ac:dyDescent="0.25">
      <c r="A73" s="419"/>
      <c r="B73" s="400"/>
      <c r="C73" s="420"/>
      <c r="D73" s="414"/>
      <c r="E73" s="415"/>
      <c r="F73" s="416"/>
      <c r="G73" s="421"/>
    </row>
    <row r="74" spans="1:8" ht="12" customHeight="1" x14ac:dyDescent="0.25">
      <c r="A74" s="256"/>
      <c r="B74" s="207"/>
      <c r="C74" s="38"/>
      <c r="D74" s="290"/>
      <c r="E74" s="241"/>
      <c r="F74" s="242"/>
      <c r="G74" s="325"/>
    </row>
    <row r="75" spans="1:8" s="120" customFormat="1" ht="28.5" customHeight="1" x14ac:dyDescent="0.25">
      <c r="A75" s="526" t="s">
        <v>1108</v>
      </c>
      <c r="B75" s="526"/>
      <c r="C75" s="526"/>
      <c r="D75" s="526"/>
      <c r="E75" s="526"/>
      <c r="F75" s="526"/>
      <c r="G75" s="188"/>
      <c r="H75" s="164"/>
    </row>
    <row r="76" spans="1:8" ht="12" customHeight="1" x14ac:dyDescent="0.25">
      <c r="A76" s="419"/>
      <c r="B76" s="400"/>
      <c r="C76" s="420"/>
      <c r="D76" s="414"/>
      <c r="E76" s="415"/>
      <c r="F76" s="416"/>
      <c r="G76" s="421"/>
    </row>
    <row r="77" spans="1:8" ht="24" x14ac:dyDescent="0.25">
      <c r="A77" s="312" t="s">
        <v>1272</v>
      </c>
      <c r="B77" s="273"/>
      <c r="C77" s="272" t="s">
        <v>550</v>
      </c>
      <c r="D77" s="290"/>
      <c r="E77" s="241"/>
      <c r="F77" s="242"/>
      <c r="G77" s="325"/>
    </row>
    <row r="78" spans="1:8" x14ac:dyDescent="0.25">
      <c r="A78" s="419"/>
      <c r="B78" s="400"/>
      <c r="C78" s="420"/>
      <c r="D78" s="414"/>
      <c r="E78" s="415"/>
      <c r="F78" s="416"/>
      <c r="G78" s="421"/>
    </row>
    <row r="79" spans="1:8" x14ac:dyDescent="0.25">
      <c r="A79" s="312"/>
      <c r="B79" s="273"/>
      <c r="C79" s="233" t="s">
        <v>1022</v>
      </c>
      <c r="D79" s="290"/>
      <c r="E79" s="241"/>
      <c r="F79" s="242"/>
      <c r="G79" s="325"/>
    </row>
    <row r="80" spans="1:8" ht="12" customHeight="1" x14ac:dyDescent="0.25">
      <c r="A80" s="419"/>
      <c r="B80" s="400"/>
      <c r="C80" s="420"/>
      <c r="D80" s="414"/>
      <c r="E80" s="415"/>
      <c r="F80" s="416"/>
      <c r="G80" s="421"/>
    </row>
    <row r="81" spans="1:7" ht="24" x14ac:dyDescent="0.25">
      <c r="A81" s="313" t="s">
        <v>1273</v>
      </c>
      <c r="B81" s="153" t="s">
        <v>14</v>
      </c>
      <c r="C81" s="228" t="s">
        <v>241</v>
      </c>
      <c r="D81" s="52"/>
      <c r="E81" s="186"/>
      <c r="F81" s="320"/>
      <c r="G81" s="52"/>
    </row>
    <row r="82" spans="1:7" ht="12" customHeight="1" x14ac:dyDescent="0.25">
      <c r="A82" s="419"/>
      <c r="B82" s="400"/>
      <c r="C82" s="420"/>
      <c r="D82" s="414"/>
      <c r="E82" s="415"/>
      <c r="F82" s="416"/>
      <c r="G82" s="421"/>
    </row>
    <row r="83" spans="1:7" ht="24" x14ac:dyDescent="0.25">
      <c r="A83" s="248" t="s">
        <v>1274</v>
      </c>
      <c r="B83" s="52" t="s">
        <v>5</v>
      </c>
      <c r="C83" s="119" t="s">
        <v>560</v>
      </c>
      <c r="D83" s="142" t="s">
        <v>87</v>
      </c>
      <c r="E83" s="186">
        <f>ROUNDUP(2.4*2.3,1)</f>
        <v>5.6</v>
      </c>
      <c r="F83" s="234"/>
      <c r="G83" s="232"/>
    </row>
    <row r="84" spans="1:7" ht="12" customHeight="1" x14ac:dyDescent="0.25">
      <c r="A84" s="419"/>
      <c r="B84" s="400"/>
      <c r="C84" s="420"/>
      <c r="D84" s="414"/>
      <c r="E84" s="415"/>
      <c r="F84" s="416"/>
      <c r="G84" s="421"/>
    </row>
    <row r="85" spans="1:7" ht="36" x14ac:dyDescent="0.25">
      <c r="A85" s="292" t="s">
        <v>1275</v>
      </c>
      <c r="B85" s="51" t="s">
        <v>394</v>
      </c>
      <c r="C85" s="233" t="s">
        <v>496</v>
      </c>
      <c r="D85" s="142" t="s">
        <v>87</v>
      </c>
      <c r="E85" s="186">
        <f>ROUNDUP(2.4*2.3,1)</f>
        <v>5.6</v>
      </c>
      <c r="F85" s="230"/>
      <c r="G85" s="232"/>
    </row>
    <row r="86" spans="1:7" ht="12" customHeight="1" x14ac:dyDescent="0.25">
      <c r="A86" s="419"/>
      <c r="B86" s="400"/>
      <c r="C86" s="420"/>
      <c r="D86" s="414"/>
      <c r="E86" s="415"/>
      <c r="F86" s="416"/>
      <c r="G86" s="421"/>
    </row>
    <row r="87" spans="1:7" ht="24" x14ac:dyDescent="0.25">
      <c r="A87" s="314"/>
      <c r="B87" s="138" t="s">
        <v>552</v>
      </c>
      <c r="C87" s="60" t="s">
        <v>554</v>
      </c>
      <c r="D87" s="229"/>
      <c r="E87" s="186"/>
      <c r="F87" s="230"/>
      <c r="G87" s="222"/>
    </row>
    <row r="88" spans="1:7" ht="12" customHeight="1" x14ac:dyDescent="0.25">
      <c r="A88" s="419"/>
      <c r="B88" s="400"/>
      <c r="C88" s="420"/>
      <c r="D88" s="414"/>
      <c r="E88" s="415"/>
      <c r="F88" s="416"/>
      <c r="G88" s="421"/>
    </row>
    <row r="89" spans="1:7" ht="36" x14ac:dyDescent="0.25">
      <c r="A89" s="292" t="s">
        <v>1276</v>
      </c>
      <c r="B89" s="51"/>
      <c r="C89" s="50" t="s">
        <v>558</v>
      </c>
      <c r="D89" s="210" t="s">
        <v>6</v>
      </c>
      <c r="E89" s="186">
        <v>45</v>
      </c>
      <c r="F89" s="230"/>
      <c r="G89" s="232"/>
    </row>
    <row r="90" spans="1:7" x14ac:dyDescent="0.25">
      <c r="A90" s="419"/>
      <c r="B90" s="400"/>
      <c r="C90" s="420"/>
      <c r="D90" s="414"/>
      <c r="E90" s="415"/>
      <c r="F90" s="416"/>
      <c r="G90" s="421"/>
    </row>
    <row r="91" spans="1:7" ht="36" x14ac:dyDescent="0.25">
      <c r="A91" s="292" t="s">
        <v>1325</v>
      </c>
      <c r="B91" s="51"/>
      <c r="C91" s="50" t="s">
        <v>553</v>
      </c>
      <c r="D91" s="210" t="s">
        <v>6</v>
      </c>
      <c r="E91" s="186">
        <v>30</v>
      </c>
      <c r="F91" s="230"/>
      <c r="G91" s="232"/>
    </row>
    <row r="92" spans="1:7" x14ac:dyDescent="0.25">
      <c r="A92" s="419"/>
      <c r="B92" s="400"/>
      <c r="C92" s="420"/>
      <c r="D92" s="414"/>
      <c r="E92" s="415"/>
      <c r="F92" s="416"/>
      <c r="G92" s="421"/>
    </row>
    <row r="93" spans="1:7" ht="36" x14ac:dyDescent="0.25">
      <c r="A93" s="292" t="s">
        <v>1326</v>
      </c>
      <c r="B93" s="51"/>
      <c r="C93" s="50" t="s">
        <v>557</v>
      </c>
      <c r="D93" s="210" t="s">
        <v>6</v>
      </c>
      <c r="E93" s="186">
        <v>20</v>
      </c>
      <c r="F93" s="230"/>
      <c r="G93" s="232"/>
    </row>
    <row r="94" spans="1:7" ht="12" customHeight="1" x14ac:dyDescent="0.25">
      <c r="A94" s="419"/>
      <c r="B94" s="400"/>
      <c r="C94" s="420"/>
      <c r="D94" s="414"/>
      <c r="E94" s="415"/>
      <c r="F94" s="416"/>
      <c r="G94" s="421"/>
    </row>
    <row r="95" spans="1:7" ht="12" customHeight="1" x14ac:dyDescent="0.25">
      <c r="A95" s="292" t="s">
        <v>1327</v>
      </c>
      <c r="B95" s="51"/>
      <c r="C95" s="50" t="s">
        <v>555</v>
      </c>
      <c r="D95" s="210" t="s">
        <v>8</v>
      </c>
      <c r="E95" s="186">
        <v>3</v>
      </c>
      <c r="F95" s="230"/>
      <c r="G95" s="232"/>
    </row>
    <row r="96" spans="1:7" ht="12" customHeight="1" x14ac:dyDescent="0.25">
      <c r="A96" s="419"/>
      <c r="B96" s="400"/>
      <c r="C96" s="420"/>
      <c r="D96" s="414"/>
      <c r="E96" s="415"/>
      <c r="F96" s="416"/>
      <c r="G96" s="421"/>
    </row>
    <row r="97" spans="1:7" ht="24" x14ac:dyDescent="0.25">
      <c r="A97" s="292" t="s">
        <v>1328</v>
      </c>
      <c r="B97" s="51"/>
      <c r="C97" s="50" t="s">
        <v>556</v>
      </c>
      <c r="D97" s="210" t="s">
        <v>8</v>
      </c>
      <c r="E97" s="186">
        <v>2</v>
      </c>
      <c r="F97" s="230"/>
      <c r="G97" s="232"/>
    </row>
    <row r="98" spans="1:7" x14ac:dyDescent="0.25">
      <c r="A98" s="419"/>
      <c r="B98" s="400"/>
      <c r="C98" s="420"/>
      <c r="D98" s="414"/>
      <c r="E98" s="415"/>
      <c r="F98" s="416"/>
      <c r="G98" s="421"/>
    </row>
    <row r="99" spans="1:7" ht="24" x14ac:dyDescent="0.25">
      <c r="A99" s="313" t="s">
        <v>1277</v>
      </c>
      <c r="B99" s="153" t="s">
        <v>244</v>
      </c>
      <c r="C99" s="228" t="s">
        <v>9</v>
      </c>
      <c r="D99" s="229"/>
      <c r="E99" s="186"/>
      <c r="F99" s="230"/>
      <c r="G99" s="222"/>
    </row>
    <row r="100" spans="1:7" ht="12" customHeight="1" x14ac:dyDescent="0.25">
      <c r="A100" s="419"/>
      <c r="B100" s="400"/>
      <c r="C100" s="420"/>
      <c r="D100" s="414"/>
      <c r="E100" s="415"/>
      <c r="F100" s="416"/>
      <c r="G100" s="421"/>
    </row>
    <row r="101" spans="1:7" ht="72" x14ac:dyDescent="0.25">
      <c r="A101" s="292" t="s">
        <v>1278</v>
      </c>
      <c r="B101" s="51" t="s">
        <v>18</v>
      </c>
      <c r="C101" s="50" t="s">
        <v>561</v>
      </c>
      <c r="D101" s="142" t="s">
        <v>88</v>
      </c>
      <c r="E101" s="186">
        <f>+ROUND((2.5*2.5*2)+(4*4*1.5),1)</f>
        <v>36.5</v>
      </c>
      <c r="F101" s="230"/>
      <c r="G101" s="232"/>
    </row>
    <row r="102" spans="1:7" ht="12" customHeight="1" x14ac:dyDescent="0.25">
      <c r="A102" s="419"/>
      <c r="B102" s="400"/>
      <c r="C102" s="420"/>
      <c r="D102" s="414"/>
      <c r="E102" s="415"/>
      <c r="F102" s="416"/>
      <c r="G102" s="421"/>
    </row>
    <row r="103" spans="1:7" ht="24" x14ac:dyDescent="0.25">
      <c r="A103" s="292" t="s">
        <v>1323</v>
      </c>
      <c r="B103" s="51" t="s">
        <v>83</v>
      </c>
      <c r="C103" s="119" t="s">
        <v>562</v>
      </c>
      <c r="D103" s="142" t="s">
        <v>88</v>
      </c>
      <c r="E103" s="211">
        <f>ROUND(3*3*0.3,1)</f>
        <v>2.7</v>
      </c>
      <c r="F103" s="274"/>
      <c r="G103" s="255"/>
    </row>
    <row r="104" spans="1:7" ht="12" customHeight="1" x14ac:dyDescent="0.25">
      <c r="A104" s="419"/>
      <c r="B104" s="400"/>
      <c r="C104" s="420"/>
      <c r="D104" s="414"/>
      <c r="E104" s="415"/>
      <c r="F104" s="416"/>
      <c r="G104" s="421"/>
    </row>
    <row r="105" spans="1:7" ht="24" x14ac:dyDescent="0.25">
      <c r="A105" s="292" t="s">
        <v>1324</v>
      </c>
      <c r="B105" s="51" t="s">
        <v>563</v>
      </c>
      <c r="C105" s="50" t="s">
        <v>564</v>
      </c>
      <c r="D105" s="142" t="s">
        <v>88</v>
      </c>
      <c r="E105" s="186">
        <f>ROUND((2.5*2.5*0.15)+(3*3*0.3),1)</f>
        <v>3.6</v>
      </c>
      <c r="F105" s="230"/>
      <c r="G105" s="255"/>
    </row>
    <row r="106" spans="1:7" x14ac:dyDescent="0.25">
      <c r="A106" s="419"/>
      <c r="B106" s="400"/>
      <c r="C106" s="420"/>
      <c r="D106" s="414"/>
      <c r="E106" s="415"/>
      <c r="F106" s="416"/>
      <c r="G106" s="421"/>
    </row>
    <row r="107" spans="1:7" x14ac:dyDescent="0.25">
      <c r="A107" s="292"/>
      <c r="B107" s="51"/>
      <c r="C107" s="50"/>
      <c r="D107" s="142"/>
      <c r="E107" s="186"/>
      <c r="F107" s="230"/>
      <c r="G107" s="255"/>
    </row>
    <row r="108" spans="1:7" x14ac:dyDescent="0.25">
      <c r="A108" s="419"/>
      <c r="B108" s="400"/>
      <c r="C108" s="420"/>
      <c r="D108" s="414"/>
      <c r="E108" s="415"/>
      <c r="F108" s="416"/>
      <c r="G108" s="421"/>
    </row>
    <row r="109" spans="1:7" x14ac:dyDescent="0.25">
      <c r="A109" s="292"/>
      <c r="B109" s="51"/>
      <c r="C109" s="50"/>
      <c r="D109" s="142"/>
      <c r="E109" s="186"/>
      <c r="F109" s="230"/>
      <c r="G109" s="255"/>
    </row>
    <row r="110" spans="1:7" ht="12" customHeight="1" x14ac:dyDescent="0.25">
      <c r="A110" s="419"/>
      <c r="B110" s="400"/>
      <c r="C110" s="420"/>
      <c r="D110" s="414"/>
      <c r="E110" s="415"/>
      <c r="F110" s="416"/>
      <c r="G110" s="421"/>
    </row>
    <row r="111" spans="1:7" ht="28.5" customHeight="1" x14ac:dyDescent="0.25">
      <c r="A111" s="527" t="s">
        <v>609</v>
      </c>
      <c r="B111" s="527"/>
      <c r="C111" s="527"/>
      <c r="D111" s="527"/>
      <c r="E111" s="527"/>
      <c r="F111" s="527"/>
      <c r="G111" s="158"/>
    </row>
    <row r="112" spans="1:7" ht="28.5" customHeight="1" x14ac:dyDescent="0.25">
      <c r="A112" s="527" t="s">
        <v>610</v>
      </c>
      <c r="B112" s="527"/>
      <c r="C112" s="527"/>
      <c r="D112" s="527"/>
      <c r="E112" s="527"/>
      <c r="F112" s="527"/>
      <c r="G112" s="158"/>
    </row>
    <row r="113" spans="1:7" x14ac:dyDescent="0.25">
      <c r="A113" s="419"/>
      <c r="B113" s="400"/>
      <c r="C113" s="420"/>
      <c r="D113" s="414"/>
      <c r="E113" s="415"/>
      <c r="F113" s="416"/>
      <c r="G113" s="421"/>
    </row>
    <row r="114" spans="1:7" ht="24" x14ac:dyDescent="0.25">
      <c r="A114" s="314" t="s">
        <v>1279</v>
      </c>
      <c r="B114" s="138" t="s">
        <v>148</v>
      </c>
      <c r="C114" s="60" t="s">
        <v>422</v>
      </c>
      <c r="D114" s="229"/>
      <c r="E114" s="186"/>
      <c r="F114" s="230"/>
      <c r="G114" s="222"/>
    </row>
    <row r="115" spans="1:7" ht="12" customHeight="1" x14ac:dyDescent="0.25">
      <c r="A115" s="419"/>
      <c r="B115" s="400"/>
      <c r="C115" s="420"/>
      <c r="D115" s="414"/>
      <c r="E115" s="415"/>
      <c r="F115" s="416"/>
      <c r="G115" s="421"/>
    </row>
    <row r="116" spans="1:7" ht="12" customHeight="1" x14ac:dyDescent="0.25">
      <c r="A116" s="292"/>
      <c r="B116" s="206">
        <v>8.1999999999999993</v>
      </c>
      <c r="C116" s="218" t="s">
        <v>149</v>
      </c>
      <c r="D116" s="229"/>
      <c r="E116" s="186"/>
      <c r="F116" s="230"/>
      <c r="G116" s="222"/>
    </row>
    <row r="117" spans="1:7" ht="12" customHeight="1" x14ac:dyDescent="0.25">
      <c r="A117" s="419"/>
      <c r="B117" s="400"/>
      <c r="C117" s="420"/>
      <c r="D117" s="414"/>
      <c r="E117" s="415"/>
      <c r="F117" s="416"/>
      <c r="G117" s="421"/>
    </row>
    <row r="118" spans="1:7" ht="12" customHeight="1" x14ac:dyDescent="0.25">
      <c r="A118" s="292"/>
      <c r="B118" s="206"/>
      <c r="C118" s="154" t="s">
        <v>172</v>
      </c>
      <c r="D118" s="229"/>
      <c r="E118" s="186"/>
      <c r="F118" s="230"/>
      <c r="G118" s="222"/>
    </row>
    <row r="119" spans="1:7" ht="12" customHeight="1" x14ac:dyDescent="0.25">
      <c r="A119" s="419"/>
      <c r="B119" s="400"/>
      <c r="C119" s="420"/>
      <c r="D119" s="414"/>
      <c r="E119" s="415"/>
      <c r="F119" s="416"/>
      <c r="G119" s="421"/>
    </row>
    <row r="120" spans="1:7" ht="12" customHeight="1" x14ac:dyDescent="0.25">
      <c r="A120" s="292"/>
      <c r="B120" s="273" t="s">
        <v>5</v>
      </c>
      <c r="C120" s="257" t="s">
        <v>157</v>
      </c>
      <c r="D120" s="229"/>
      <c r="E120" s="186"/>
      <c r="F120" s="230"/>
      <c r="G120" s="222"/>
    </row>
    <row r="121" spans="1:7" ht="12" customHeight="1" x14ac:dyDescent="0.25">
      <c r="A121" s="419"/>
      <c r="B121" s="400"/>
      <c r="C121" s="420"/>
      <c r="D121" s="414"/>
      <c r="E121" s="415"/>
      <c r="F121" s="416"/>
      <c r="G121" s="421"/>
    </row>
    <row r="122" spans="1:7" ht="12" customHeight="1" x14ac:dyDescent="0.25">
      <c r="A122" s="292"/>
      <c r="B122" s="51"/>
      <c r="C122" s="154" t="s">
        <v>175</v>
      </c>
      <c r="D122" s="229"/>
      <c r="E122" s="186"/>
      <c r="F122" s="230"/>
      <c r="G122" s="222"/>
    </row>
    <row r="123" spans="1:7" ht="12" customHeight="1" x14ac:dyDescent="0.25">
      <c r="A123" s="419"/>
      <c r="B123" s="400"/>
      <c r="C123" s="420"/>
      <c r="D123" s="414"/>
      <c r="E123" s="415"/>
      <c r="F123" s="416"/>
      <c r="G123" s="421"/>
    </row>
    <row r="124" spans="1:7" ht="12" customHeight="1" x14ac:dyDescent="0.25">
      <c r="A124" s="292" t="s">
        <v>1280</v>
      </c>
      <c r="B124" s="51"/>
      <c r="C124" s="50" t="s">
        <v>565</v>
      </c>
      <c r="D124" s="142" t="s">
        <v>87</v>
      </c>
      <c r="E124" s="186">
        <f>ROUND(2.5*0.25*4,1)</f>
        <v>2.5</v>
      </c>
      <c r="F124" s="230"/>
      <c r="G124" s="255"/>
    </row>
    <row r="125" spans="1:7" ht="12" customHeight="1" x14ac:dyDescent="0.25">
      <c r="A125" s="419"/>
      <c r="B125" s="400"/>
      <c r="C125" s="420"/>
      <c r="D125" s="414"/>
      <c r="E125" s="415"/>
      <c r="F125" s="416"/>
      <c r="G125" s="421"/>
    </row>
    <row r="126" spans="1:7" ht="12" customHeight="1" x14ac:dyDescent="0.25">
      <c r="A126" s="292" t="s">
        <v>1281</v>
      </c>
      <c r="B126" s="51"/>
      <c r="C126" s="233" t="s">
        <v>971</v>
      </c>
      <c r="D126" s="142" t="s">
        <v>87</v>
      </c>
      <c r="E126" s="187">
        <f>+ROUND(1.75*0.3*4,1)</f>
        <v>2.1</v>
      </c>
      <c r="F126" s="230"/>
      <c r="G126" s="255"/>
    </row>
    <row r="127" spans="1:7" ht="12" customHeight="1" x14ac:dyDescent="0.25">
      <c r="A127" s="419"/>
      <c r="B127" s="400"/>
      <c r="C127" s="420"/>
      <c r="D127" s="414"/>
      <c r="E127" s="415"/>
      <c r="F127" s="416"/>
      <c r="G127" s="421"/>
    </row>
    <row r="128" spans="1:7" ht="12" customHeight="1" x14ac:dyDescent="0.25">
      <c r="A128" s="292"/>
      <c r="B128" s="273" t="s">
        <v>7</v>
      </c>
      <c r="C128" s="257" t="s">
        <v>150</v>
      </c>
      <c r="D128" s="229"/>
      <c r="E128" s="186"/>
      <c r="F128" s="230"/>
      <c r="G128" s="222"/>
    </row>
    <row r="129" spans="1:7" ht="12" customHeight="1" x14ac:dyDescent="0.25">
      <c r="A129" s="419"/>
      <c r="B129" s="400"/>
      <c r="C129" s="420"/>
      <c r="D129" s="414"/>
      <c r="E129" s="415"/>
      <c r="F129" s="416"/>
      <c r="G129" s="421"/>
    </row>
    <row r="130" spans="1:7" ht="12" customHeight="1" x14ac:dyDescent="0.25">
      <c r="A130" s="292"/>
      <c r="B130" s="51"/>
      <c r="C130" s="154" t="s">
        <v>175</v>
      </c>
      <c r="D130" s="229"/>
      <c r="E130" s="186"/>
      <c r="F130" s="230"/>
      <c r="G130" s="222"/>
    </row>
    <row r="131" spans="1:7" ht="12" customHeight="1" x14ac:dyDescent="0.25">
      <c r="A131" s="419"/>
      <c r="B131" s="400"/>
      <c r="C131" s="420"/>
      <c r="D131" s="414"/>
      <c r="E131" s="415"/>
      <c r="F131" s="416"/>
      <c r="G131" s="421"/>
    </row>
    <row r="132" spans="1:7" ht="12" customHeight="1" x14ac:dyDescent="0.25">
      <c r="A132" s="292" t="s">
        <v>1282</v>
      </c>
      <c r="B132" s="51"/>
      <c r="C132" s="50" t="s">
        <v>972</v>
      </c>
      <c r="D132" s="142" t="s">
        <v>87</v>
      </c>
      <c r="E132" s="186">
        <f>ROUND(1.8*2.3*8,1)+24</f>
        <v>57.1</v>
      </c>
      <c r="F132" s="230"/>
      <c r="G132" s="255"/>
    </row>
    <row r="133" spans="1:7" ht="12" customHeight="1" x14ac:dyDescent="0.25">
      <c r="A133" s="419"/>
      <c r="B133" s="400"/>
      <c r="C133" s="420"/>
      <c r="D133" s="414"/>
      <c r="E133" s="415"/>
      <c r="F133" s="416"/>
      <c r="G133" s="421"/>
    </row>
    <row r="134" spans="1:7" ht="24" x14ac:dyDescent="0.25">
      <c r="A134" s="292" t="s">
        <v>1283</v>
      </c>
      <c r="B134" s="51"/>
      <c r="C134" s="50" t="s">
        <v>973</v>
      </c>
      <c r="D134" s="142" t="s">
        <v>87</v>
      </c>
      <c r="E134" s="186">
        <f>ROUND((0.2*2.3*4)+(1.2*0.25*2)+(1.3*0.25*2),1)+1.4</f>
        <v>4.5</v>
      </c>
      <c r="F134" s="230"/>
      <c r="G134" s="255"/>
    </row>
    <row r="135" spans="1:7" ht="12" customHeight="1" x14ac:dyDescent="0.25">
      <c r="A135" s="419"/>
      <c r="B135" s="400"/>
      <c r="C135" s="420"/>
      <c r="D135" s="414"/>
      <c r="E135" s="415"/>
      <c r="F135" s="416"/>
      <c r="G135" s="421"/>
    </row>
    <row r="136" spans="1:7" ht="12" customHeight="1" x14ac:dyDescent="0.25">
      <c r="A136" s="292" t="s">
        <v>1284</v>
      </c>
      <c r="B136" s="51"/>
      <c r="C136" s="50" t="s">
        <v>974</v>
      </c>
      <c r="D136" s="142" t="s">
        <v>87</v>
      </c>
      <c r="E136" s="186">
        <f>ROUND(3*0.25*4,1)</f>
        <v>3</v>
      </c>
      <c r="F136" s="230"/>
      <c r="G136" s="255"/>
    </row>
    <row r="137" spans="1:7" ht="12" customHeight="1" x14ac:dyDescent="0.25">
      <c r="A137" s="419"/>
      <c r="B137" s="400"/>
      <c r="C137" s="420"/>
      <c r="D137" s="414"/>
      <c r="E137" s="415"/>
      <c r="F137" s="416"/>
      <c r="G137" s="421"/>
    </row>
    <row r="138" spans="1:7" ht="12.75" customHeight="1" x14ac:dyDescent="0.25">
      <c r="A138" s="292" t="s">
        <v>1285</v>
      </c>
      <c r="B138" s="51"/>
      <c r="C138" s="50" t="s">
        <v>567</v>
      </c>
      <c r="D138" s="142" t="s">
        <v>87</v>
      </c>
      <c r="E138" s="186">
        <f>ROUND(4*0.2*2,1)</f>
        <v>1.6</v>
      </c>
      <c r="F138" s="230"/>
      <c r="G138" s="255"/>
    </row>
    <row r="139" spans="1:7" ht="12" customHeight="1" x14ac:dyDescent="0.25">
      <c r="A139" s="419"/>
      <c r="B139" s="400"/>
      <c r="C139" s="420"/>
      <c r="D139" s="414"/>
      <c r="E139" s="415"/>
      <c r="F139" s="416"/>
      <c r="G139" s="421"/>
    </row>
    <row r="140" spans="1:7" ht="12" customHeight="1" x14ac:dyDescent="0.25">
      <c r="A140" s="292"/>
      <c r="B140" s="51"/>
      <c r="C140" s="154" t="s">
        <v>176</v>
      </c>
      <c r="D140" s="142"/>
      <c r="E140" s="186"/>
      <c r="F140" s="230"/>
      <c r="G140" s="255"/>
    </row>
    <row r="141" spans="1:7" ht="12" customHeight="1" x14ac:dyDescent="0.25">
      <c r="A141" s="419"/>
      <c r="B141" s="400"/>
      <c r="C141" s="420"/>
      <c r="D141" s="414"/>
      <c r="E141" s="415"/>
      <c r="F141" s="416"/>
      <c r="G141" s="421"/>
    </row>
    <row r="142" spans="1:7" ht="24" x14ac:dyDescent="0.25">
      <c r="A142" s="292" t="s">
        <v>1286</v>
      </c>
      <c r="B142" s="51"/>
      <c r="C142" s="50" t="s">
        <v>975</v>
      </c>
      <c r="D142" s="142" t="s">
        <v>87</v>
      </c>
      <c r="E142" s="186">
        <f>ROUND(2*2.1,1)+3.1</f>
        <v>7.3000000000000007</v>
      </c>
      <c r="F142" s="230"/>
      <c r="G142" s="255"/>
    </row>
    <row r="143" spans="1:7" ht="12" customHeight="1" x14ac:dyDescent="0.25">
      <c r="A143" s="419"/>
      <c r="B143" s="400"/>
      <c r="C143" s="420"/>
      <c r="D143" s="414"/>
      <c r="E143" s="415"/>
      <c r="F143" s="416"/>
      <c r="G143" s="421"/>
    </row>
    <row r="144" spans="1:7" ht="12" customHeight="1" x14ac:dyDescent="0.25">
      <c r="A144" s="292" t="s">
        <v>1287</v>
      </c>
      <c r="B144" s="51"/>
      <c r="C144" s="50" t="s">
        <v>566</v>
      </c>
      <c r="D144" s="142" t="s">
        <v>87</v>
      </c>
      <c r="E144" s="186">
        <f>4*4</f>
        <v>16</v>
      </c>
      <c r="F144" s="230"/>
      <c r="G144" s="255"/>
    </row>
    <row r="145" spans="1:7" ht="12" customHeight="1" x14ac:dyDescent="0.25">
      <c r="A145" s="419"/>
      <c r="B145" s="400"/>
      <c r="C145" s="420"/>
      <c r="D145" s="414"/>
      <c r="E145" s="415"/>
      <c r="F145" s="416"/>
      <c r="G145" s="421"/>
    </row>
    <row r="146" spans="1:7" ht="12" customHeight="1" x14ac:dyDescent="0.25">
      <c r="A146" s="292"/>
      <c r="B146" s="273" t="s">
        <v>476</v>
      </c>
      <c r="C146" s="279" t="s">
        <v>403</v>
      </c>
      <c r="D146" s="142"/>
      <c r="E146" s="186"/>
      <c r="F146" s="230"/>
      <c r="G146" s="255"/>
    </row>
    <row r="147" spans="1:7" ht="12" customHeight="1" x14ac:dyDescent="0.25">
      <c r="A147" s="419"/>
      <c r="B147" s="400"/>
      <c r="C147" s="420"/>
      <c r="D147" s="414"/>
      <c r="E147" s="415"/>
      <c r="F147" s="416"/>
      <c r="G147" s="421"/>
    </row>
    <row r="148" spans="1:7" ht="37.15" customHeight="1" x14ac:dyDescent="0.25">
      <c r="A148" s="292"/>
      <c r="B148" s="273"/>
      <c r="C148" s="258" t="s">
        <v>443</v>
      </c>
      <c r="D148" s="142"/>
      <c r="E148" s="186"/>
      <c r="F148" s="230"/>
      <c r="G148" s="255"/>
    </row>
    <row r="149" spans="1:7" x14ac:dyDescent="0.25">
      <c r="A149" s="419"/>
      <c r="B149" s="400"/>
      <c r="C149" s="420"/>
      <c r="D149" s="414"/>
      <c r="E149" s="415"/>
      <c r="F149" s="416"/>
      <c r="G149" s="421"/>
    </row>
    <row r="150" spans="1:7" ht="24" x14ac:dyDescent="0.25">
      <c r="A150" s="292" t="s">
        <v>1288</v>
      </c>
      <c r="B150" s="273"/>
      <c r="C150" s="119" t="s">
        <v>976</v>
      </c>
      <c r="D150" s="142" t="s">
        <v>8</v>
      </c>
      <c r="E150" s="186">
        <v>2</v>
      </c>
      <c r="F150" s="230"/>
      <c r="G150" s="255"/>
    </row>
    <row r="151" spans="1:7" x14ac:dyDescent="0.25">
      <c r="A151" s="419"/>
      <c r="B151" s="400"/>
      <c r="C151" s="420"/>
      <c r="D151" s="414"/>
      <c r="E151" s="415"/>
      <c r="F151" s="416"/>
      <c r="G151" s="421"/>
    </row>
    <row r="152" spans="1:7" ht="24" x14ac:dyDescent="0.25">
      <c r="A152" s="292" t="s">
        <v>1289</v>
      </c>
      <c r="B152" s="51"/>
      <c r="C152" s="50" t="s">
        <v>977</v>
      </c>
      <c r="D152" s="142" t="s">
        <v>8</v>
      </c>
      <c r="E152" s="186">
        <v>1</v>
      </c>
      <c r="F152" s="230"/>
      <c r="G152" s="255"/>
    </row>
    <row r="153" spans="1:7" x14ac:dyDescent="0.25">
      <c r="A153" s="419"/>
      <c r="B153" s="400"/>
      <c r="C153" s="420"/>
      <c r="D153" s="414"/>
      <c r="E153" s="415"/>
      <c r="F153" s="416"/>
      <c r="G153" s="421"/>
    </row>
    <row r="154" spans="1:7" ht="24" x14ac:dyDescent="0.25">
      <c r="A154" s="292" t="s">
        <v>1290</v>
      </c>
      <c r="B154" s="51"/>
      <c r="C154" s="233" t="s">
        <v>892</v>
      </c>
      <c r="D154" s="142" t="s">
        <v>8</v>
      </c>
      <c r="E154" s="186">
        <v>1</v>
      </c>
      <c r="F154" s="230"/>
      <c r="G154" s="255"/>
    </row>
    <row r="155" spans="1:7" x14ac:dyDescent="0.25">
      <c r="A155" s="419"/>
      <c r="B155" s="400"/>
      <c r="C155" s="420"/>
      <c r="D155" s="414"/>
      <c r="E155" s="415"/>
      <c r="F155" s="416"/>
      <c r="G155" s="421"/>
    </row>
    <row r="156" spans="1:7" x14ac:dyDescent="0.25">
      <c r="A156" s="312"/>
      <c r="B156" s="283"/>
      <c r="C156" s="284"/>
      <c r="D156" s="229"/>
      <c r="E156" s="295"/>
      <c r="F156" s="317"/>
      <c r="G156" s="324"/>
    </row>
    <row r="157" spans="1:7" x14ac:dyDescent="0.25">
      <c r="A157" s="419"/>
      <c r="B157" s="400"/>
      <c r="C157" s="420"/>
      <c r="D157" s="414"/>
      <c r="E157" s="415"/>
      <c r="F157" s="416"/>
      <c r="G157" s="421"/>
    </row>
    <row r="158" spans="1:7" ht="28.5" customHeight="1" x14ac:dyDescent="0.25">
      <c r="A158" s="527" t="s">
        <v>609</v>
      </c>
      <c r="B158" s="527"/>
      <c r="C158" s="527"/>
      <c r="D158" s="527"/>
      <c r="E158" s="527"/>
      <c r="F158" s="527"/>
      <c r="G158" s="328"/>
    </row>
    <row r="159" spans="1:7" ht="28.5" customHeight="1" x14ac:dyDescent="0.25">
      <c r="A159" s="527" t="s">
        <v>610</v>
      </c>
      <c r="B159" s="527"/>
      <c r="C159" s="527"/>
      <c r="D159" s="527"/>
      <c r="E159" s="527"/>
      <c r="F159" s="527"/>
      <c r="G159" s="328"/>
    </row>
    <row r="160" spans="1:7" x14ac:dyDescent="0.25">
      <c r="A160" s="419"/>
      <c r="B160" s="400"/>
      <c r="C160" s="420"/>
      <c r="D160" s="414"/>
      <c r="E160" s="415"/>
      <c r="F160" s="416"/>
      <c r="G160" s="421"/>
    </row>
    <row r="161" spans="1:7" ht="12" customHeight="1" x14ac:dyDescent="0.25">
      <c r="A161" s="292"/>
      <c r="B161" s="207">
        <v>8.3000000000000007</v>
      </c>
      <c r="C161" s="38" t="s">
        <v>151</v>
      </c>
      <c r="D161" s="210"/>
      <c r="E161" s="219"/>
      <c r="F161" s="274"/>
      <c r="G161" s="233"/>
    </row>
    <row r="162" spans="1:7" ht="12" customHeight="1" x14ac:dyDescent="0.25">
      <c r="A162" s="419"/>
      <c r="B162" s="400"/>
      <c r="C162" s="420"/>
      <c r="D162" s="414"/>
      <c r="E162" s="415"/>
      <c r="F162" s="416"/>
      <c r="G162" s="421"/>
    </row>
    <row r="163" spans="1:7" ht="12" customHeight="1" x14ac:dyDescent="0.25">
      <c r="A163" s="292"/>
      <c r="B163" s="210"/>
      <c r="C163" s="258" t="s">
        <v>406</v>
      </c>
      <c r="D163" s="210"/>
      <c r="E163" s="219"/>
      <c r="F163" s="274"/>
      <c r="G163" s="233"/>
    </row>
    <row r="164" spans="1:7" ht="12" customHeight="1" x14ac:dyDescent="0.25">
      <c r="A164" s="419"/>
      <c r="B164" s="400"/>
      <c r="C164" s="420"/>
      <c r="D164" s="414"/>
      <c r="E164" s="415"/>
      <c r="F164" s="416"/>
      <c r="G164" s="421"/>
    </row>
    <row r="165" spans="1:7" ht="12" customHeight="1" x14ac:dyDescent="0.25">
      <c r="A165" s="292" t="s">
        <v>1291</v>
      </c>
      <c r="B165" s="210" t="s">
        <v>26</v>
      </c>
      <c r="C165" s="119" t="s">
        <v>177</v>
      </c>
      <c r="D165" s="210" t="s">
        <v>92</v>
      </c>
      <c r="E165" s="219">
        <f>+(E179*0.18)+ROUND((1.75*1.75*0.25*0.135)+(1.5*2.5*0.15)+(1.75*1.75*0.2*0.135),1)</f>
        <v>1.6179999999999999</v>
      </c>
      <c r="F165" s="274"/>
      <c r="G165" s="255"/>
    </row>
    <row r="166" spans="1:7" ht="12" customHeight="1" x14ac:dyDescent="0.25">
      <c r="A166" s="419"/>
      <c r="B166" s="400"/>
      <c r="C166" s="420"/>
      <c r="D166" s="414"/>
      <c r="E166" s="415"/>
      <c r="F166" s="416"/>
      <c r="G166" s="421"/>
    </row>
    <row r="167" spans="1:7" ht="24" x14ac:dyDescent="0.25">
      <c r="A167" s="292" t="s">
        <v>1292</v>
      </c>
      <c r="B167" s="51" t="s">
        <v>477</v>
      </c>
      <c r="C167" s="50" t="s">
        <v>568</v>
      </c>
      <c r="D167" s="142" t="s">
        <v>87</v>
      </c>
      <c r="E167" s="186">
        <f>3+16</f>
        <v>19</v>
      </c>
      <c r="F167" s="230"/>
      <c r="G167" s="255"/>
    </row>
    <row r="168" spans="1:7" ht="12" customHeight="1" x14ac:dyDescent="0.25">
      <c r="A168" s="419"/>
      <c r="B168" s="400"/>
      <c r="C168" s="420"/>
      <c r="D168" s="414"/>
      <c r="E168" s="415"/>
      <c r="F168" s="416"/>
      <c r="G168" s="421"/>
    </row>
    <row r="169" spans="1:7" ht="12" customHeight="1" x14ac:dyDescent="0.25">
      <c r="A169" s="292"/>
      <c r="B169" s="207">
        <v>8.4</v>
      </c>
      <c r="C169" s="38" t="s">
        <v>152</v>
      </c>
      <c r="D169" s="210"/>
      <c r="E169" s="219"/>
      <c r="F169" s="274"/>
      <c r="G169" s="233"/>
    </row>
    <row r="170" spans="1:7" ht="12" customHeight="1" x14ac:dyDescent="0.25">
      <c r="A170" s="419"/>
      <c r="B170" s="400"/>
      <c r="C170" s="420"/>
      <c r="D170" s="414"/>
      <c r="E170" s="415"/>
      <c r="F170" s="416"/>
      <c r="G170" s="421"/>
    </row>
    <row r="171" spans="1:7" ht="12" customHeight="1" x14ac:dyDescent="0.25">
      <c r="A171" s="292"/>
      <c r="B171" s="210"/>
      <c r="C171" s="258" t="s">
        <v>407</v>
      </c>
      <c r="D171" s="210"/>
      <c r="E171" s="219"/>
      <c r="F171" s="274"/>
      <c r="G171" s="281"/>
    </row>
    <row r="172" spans="1:7" ht="12" customHeight="1" x14ac:dyDescent="0.25">
      <c r="A172" s="419"/>
      <c r="B172" s="400"/>
      <c r="C172" s="420"/>
      <c r="D172" s="414"/>
      <c r="E172" s="415"/>
      <c r="F172" s="416"/>
      <c r="G172" s="421"/>
    </row>
    <row r="173" spans="1:7" ht="36" x14ac:dyDescent="0.25">
      <c r="A173" s="292" t="s">
        <v>1293</v>
      </c>
      <c r="B173" s="210" t="s">
        <v>52</v>
      </c>
      <c r="C173" s="119" t="s">
        <v>577</v>
      </c>
      <c r="D173" s="142" t="s">
        <v>88</v>
      </c>
      <c r="E173" s="219">
        <f>+ROUND((2.4*2.3*0.05)+(13.6*0.05)+(21.84*0.05),1)</f>
        <v>2</v>
      </c>
      <c r="F173" s="274"/>
      <c r="G173" s="255"/>
    </row>
    <row r="174" spans="1:7" x14ac:dyDescent="0.25">
      <c r="A174" s="419"/>
      <c r="B174" s="400"/>
      <c r="C174" s="420"/>
      <c r="D174" s="414"/>
      <c r="E174" s="415"/>
      <c r="F174" s="416"/>
      <c r="G174" s="421"/>
    </row>
    <row r="175" spans="1:7" ht="12" customHeight="1" x14ac:dyDescent="0.25">
      <c r="A175" s="292"/>
      <c r="B175" s="221" t="s">
        <v>94</v>
      </c>
      <c r="C175" s="212" t="s">
        <v>178</v>
      </c>
      <c r="D175" s="142"/>
      <c r="E175" s="186"/>
      <c r="F175" s="230"/>
      <c r="G175" s="255"/>
    </row>
    <row r="176" spans="1:7" ht="12" customHeight="1" x14ac:dyDescent="0.25">
      <c r="A176" s="419"/>
      <c r="B176" s="400"/>
      <c r="C176" s="420"/>
      <c r="D176" s="414"/>
      <c r="E176" s="415"/>
      <c r="F176" s="416"/>
      <c r="G176" s="421"/>
    </row>
    <row r="177" spans="1:7" x14ac:dyDescent="0.25">
      <c r="A177" s="292"/>
      <c r="B177" s="51"/>
      <c r="C177" s="154" t="s">
        <v>569</v>
      </c>
      <c r="D177" s="142"/>
      <c r="E177" s="186"/>
      <c r="F177" s="230"/>
      <c r="G177" s="255"/>
    </row>
    <row r="178" spans="1:7" x14ac:dyDescent="0.25">
      <c r="A178" s="419"/>
      <c r="B178" s="400"/>
      <c r="C178" s="420"/>
      <c r="D178" s="414"/>
      <c r="E178" s="415"/>
      <c r="F178" s="416"/>
      <c r="G178" s="421"/>
    </row>
    <row r="179" spans="1:7" ht="24" x14ac:dyDescent="0.25">
      <c r="A179" s="292" t="s">
        <v>1294</v>
      </c>
      <c r="B179" s="51"/>
      <c r="C179" s="50" t="s">
        <v>570</v>
      </c>
      <c r="D179" s="142" t="s">
        <v>88</v>
      </c>
      <c r="E179" s="186">
        <f>+ROUND((2.4*2.3*0.25)+(1.8*1.8)+(2.608*0.2),1)</f>
        <v>5.0999999999999996</v>
      </c>
      <c r="F179" s="230"/>
      <c r="G179" s="255"/>
    </row>
    <row r="180" spans="1:7" x14ac:dyDescent="0.25">
      <c r="A180" s="419"/>
      <c r="B180" s="400"/>
      <c r="C180" s="420"/>
      <c r="D180" s="414"/>
      <c r="E180" s="415"/>
      <c r="F180" s="416"/>
      <c r="G180" s="421"/>
    </row>
    <row r="181" spans="1:7" ht="13.5" x14ac:dyDescent="0.25">
      <c r="A181" s="292" t="s">
        <v>1295</v>
      </c>
      <c r="B181" s="51"/>
      <c r="C181" s="50" t="s">
        <v>978</v>
      </c>
      <c r="D181" s="142" t="s">
        <v>88</v>
      </c>
      <c r="E181" s="241">
        <f>+ROUND((1.75*1.75*0.25)+(1.5*2.5)+(1.75*1.75*0.2),1)</f>
        <v>5.0999999999999996</v>
      </c>
      <c r="F181" s="230"/>
      <c r="G181" s="255"/>
    </row>
    <row r="182" spans="1:7" x14ac:dyDescent="0.25">
      <c r="A182" s="419"/>
      <c r="B182" s="400"/>
      <c r="C182" s="420"/>
      <c r="D182" s="414"/>
      <c r="E182" s="415"/>
      <c r="F182" s="416"/>
      <c r="G182" s="421"/>
    </row>
    <row r="183" spans="1:7" ht="13.5" x14ac:dyDescent="0.25">
      <c r="A183" s="292" t="s">
        <v>1297</v>
      </c>
      <c r="B183" s="51"/>
      <c r="C183" s="50" t="s">
        <v>571</v>
      </c>
      <c r="D183" s="142" t="s">
        <v>88</v>
      </c>
      <c r="E183" s="186">
        <f>+ROUND(4*4*0.2,1)</f>
        <v>3.2</v>
      </c>
      <c r="F183" s="230"/>
      <c r="G183" s="255"/>
    </row>
    <row r="184" spans="1:7" ht="12" customHeight="1" x14ac:dyDescent="0.25">
      <c r="A184" s="419"/>
      <c r="B184" s="400"/>
      <c r="C184" s="420"/>
      <c r="D184" s="414"/>
      <c r="E184" s="415"/>
      <c r="F184" s="416"/>
      <c r="G184" s="421"/>
    </row>
    <row r="185" spans="1:7" ht="36" x14ac:dyDescent="0.25">
      <c r="A185" s="292" t="s">
        <v>1296</v>
      </c>
      <c r="B185" s="51"/>
      <c r="C185" s="50" t="s">
        <v>1110</v>
      </c>
      <c r="D185" s="142" t="s">
        <v>88</v>
      </c>
      <c r="E185" s="186">
        <v>14.2</v>
      </c>
      <c r="F185" s="230"/>
      <c r="G185" s="255"/>
    </row>
    <row r="186" spans="1:7" ht="12" customHeight="1" x14ac:dyDescent="0.25">
      <c r="A186" s="419"/>
      <c r="B186" s="400"/>
      <c r="C186" s="420"/>
      <c r="D186" s="414"/>
      <c r="E186" s="415"/>
      <c r="F186" s="416"/>
      <c r="G186" s="421"/>
    </row>
    <row r="187" spans="1:7" ht="24" x14ac:dyDescent="0.25">
      <c r="A187" s="292" t="s">
        <v>1298</v>
      </c>
      <c r="B187" s="51"/>
      <c r="C187" s="50" t="s">
        <v>573</v>
      </c>
      <c r="D187" s="142" t="s">
        <v>88</v>
      </c>
      <c r="E187" s="186">
        <f>ROUND(0.5*0.3*2*115%,1)</f>
        <v>0.3</v>
      </c>
      <c r="F187" s="230"/>
      <c r="G187" s="255"/>
    </row>
    <row r="188" spans="1:7" x14ac:dyDescent="0.25">
      <c r="A188" s="419"/>
      <c r="B188" s="400"/>
      <c r="C188" s="420"/>
      <c r="D188" s="414"/>
      <c r="E188" s="415"/>
      <c r="F188" s="416"/>
      <c r="G188" s="421"/>
    </row>
    <row r="189" spans="1:7" ht="36" x14ac:dyDescent="0.25">
      <c r="A189" s="292" t="s">
        <v>1299</v>
      </c>
      <c r="B189" s="51"/>
      <c r="C189" s="50" t="s">
        <v>979</v>
      </c>
      <c r="D189" s="142" t="s">
        <v>88</v>
      </c>
      <c r="E189" s="219">
        <f>+ROUND((2.4*2.3*0.05)+(13.6*0.05)+(21.84*0.05),1)+0.3</f>
        <v>2.2999999999999998</v>
      </c>
      <c r="F189" s="274"/>
      <c r="G189" s="255"/>
    </row>
    <row r="190" spans="1:7" ht="12" customHeight="1" x14ac:dyDescent="0.25">
      <c r="A190" s="419"/>
      <c r="B190" s="400"/>
      <c r="C190" s="420"/>
      <c r="D190" s="414"/>
      <c r="E190" s="415"/>
      <c r="F190" s="416"/>
      <c r="G190" s="421"/>
    </row>
    <row r="191" spans="1:7" ht="12" customHeight="1" x14ac:dyDescent="0.25">
      <c r="A191" s="292"/>
      <c r="B191" s="66" t="s">
        <v>58</v>
      </c>
      <c r="C191" s="67" t="s">
        <v>572</v>
      </c>
      <c r="D191" s="142"/>
      <c r="E191" s="186"/>
      <c r="F191" s="230"/>
      <c r="G191" s="255"/>
    </row>
    <row r="192" spans="1:7" ht="12" customHeight="1" x14ac:dyDescent="0.25">
      <c r="A192" s="419"/>
      <c r="B192" s="400"/>
      <c r="C192" s="420"/>
      <c r="D192" s="414"/>
      <c r="E192" s="415"/>
      <c r="F192" s="416"/>
      <c r="G192" s="421"/>
    </row>
    <row r="193" spans="1:7" ht="24" x14ac:dyDescent="0.25">
      <c r="A193" s="292" t="s">
        <v>1300</v>
      </c>
      <c r="B193" s="51"/>
      <c r="C193" s="50" t="s">
        <v>1023</v>
      </c>
      <c r="D193" s="142" t="s">
        <v>87</v>
      </c>
      <c r="E193" s="186">
        <f>1.8+2.7+21.9+4.6</f>
        <v>31</v>
      </c>
      <c r="F193" s="230"/>
      <c r="G193" s="255"/>
    </row>
    <row r="194" spans="1:7" ht="12" customHeight="1" x14ac:dyDescent="0.25">
      <c r="A194" s="419"/>
      <c r="B194" s="400"/>
      <c r="C194" s="420"/>
      <c r="D194" s="414"/>
      <c r="E194" s="415"/>
      <c r="F194" s="416"/>
      <c r="G194" s="421"/>
    </row>
    <row r="195" spans="1:7" ht="24" x14ac:dyDescent="0.25">
      <c r="A195" s="292" t="s">
        <v>1301</v>
      </c>
      <c r="B195" s="51"/>
      <c r="C195" s="50" t="s">
        <v>980</v>
      </c>
      <c r="D195" s="142" t="s">
        <v>87</v>
      </c>
      <c r="E195" s="186">
        <v>20</v>
      </c>
      <c r="F195" s="230"/>
      <c r="G195" s="255"/>
    </row>
    <row r="196" spans="1:7" ht="12" customHeight="1" x14ac:dyDescent="0.25">
      <c r="A196" s="419"/>
      <c r="B196" s="400"/>
      <c r="C196" s="420"/>
      <c r="D196" s="414"/>
      <c r="E196" s="415"/>
      <c r="F196" s="416"/>
      <c r="G196" s="421"/>
    </row>
    <row r="197" spans="1:7" ht="24" x14ac:dyDescent="0.25">
      <c r="A197" s="292" t="s">
        <v>1302</v>
      </c>
      <c r="B197" s="51"/>
      <c r="C197" s="50" t="s">
        <v>574</v>
      </c>
      <c r="D197" s="142" t="s">
        <v>87</v>
      </c>
      <c r="E197" s="186">
        <f>4*4</f>
        <v>16</v>
      </c>
      <c r="F197" s="230"/>
      <c r="G197" s="255"/>
    </row>
    <row r="198" spans="1:7" x14ac:dyDescent="0.25">
      <c r="A198" s="419"/>
      <c r="B198" s="400"/>
      <c r="C198" s="420"/>
      <c r="D198" s="414"/>
      <c r="E198" s="415"/>
      <c r="F198" s="416"/>
      <c r="G198" s="421"/>
    </row>
    <row r="199" spans="1:7" x14ac:dyDescent="0.25">
      <c r="A199" s="292"/>
      <c r="B199" s="51"/>
      <c r="C199" s="50"/>
      <c r="D199" s="142"/>
      <c r="E199" s="186"/>
      <c r="F199" s="230"/>
      <c r="G199" s="255"/>
    </row>
    <row r="200" spans="1:7" x14ac:dyDescent="0.25">
      <c r="A200" s="419"/>
      <c r="B200" s="400"/>
      <c r="C200" s="420"/>
      <c r="D200" s="414"/>
      <c r="E200" s="415"/>
      <c r="F200" s="416"/>
      <c r="G200" s="421"/>
    </row>
    <row r="201" spans="1:7" ht="28.5" customHeight="1" x14ac:dyDescent="0.25">
      <c r="A201" s="527" t="s">
        <v>609</v>
      </c>
      <c r="B201" s="527"/>
      <c r="C201" s="527"/>
      <c r="D201" s="527"/>
      <c r="E201" s="527"/>
      <c r="F201" s="527"/>
      <c r="G201" s="328"/>
    </row>
    <row r="202" spans="1:7" ht="28.5" customHeight="1" x14ac:dyDescent="0.25">
      <c r="A202" s="527" t="s">
        <v>610</v>
      </c>
      <c r="B202" s="527"/>
      <c r="C202" s="527"/>
      <c r="D202" s="527"/>
      <c r="E202" s="527"/>
      <c r="F202" s="527"/>
      <c r="G202" s="328"/>
    </row>
    <row r="203" spans="1:7" ht="12" customHeight="1" x14ac:dyDescent="0.25">
      <c r="A203" s="419"/>
      <c r="B203" s="400"/>
      <c r="C203" s="420"/>
      <c r="D203" s="414"/>
      <c r="E203" s="415"/>
      <c r="F203" s="416"/>
      <c r="G203" s="421"/>
    </row>
    <row r="204" spans="1:7" ht="12" customHeight="1" x14ac:dyDescent="0.25">
      <c r="A204" s="292"/>
      <c r="B204" s="138" t="s">
        <v>575</v>
      </c>
      <c r="C204" s="60" t="s">
        <v>409</v>
      </c>
      <c r="D204" s="229"/>
      <c r="E204" s="186"/>
      <c r="F204" s="230"/>
      <c r="G204" s="222"/>
    </row>
    <row r="205" spans="1:7" ht="12" customHeight="1" x14ac:dyDescent="0.25">
      <c r="A205" s="419"/>
      <c r="B205" s="400"/>
      <c r="C205" s="420"/>
      <c r="D205" s="414"/>
      <c r="E205" s="415"/>
      <c r="F205" s="416"/>
      <c r="G205" s="421"/>
    </row>
    <row r="206" spans="1:7" ht="36" x14ac:dyDescent="0.25">
      <c r="A206" s="292" t="s">
        <v>1303</v>
      </c>
      <c r="B206" s="138"/>
      <c r="C206" s="50" t="s">
        <v>981</v>
      </c>
      <c r="D206" s="210" t="s">
        <v>6</v>
      </c>
      <c r="E206" s="186">
        <f>+ROUND(16.92+7.2,1)+6.9</f>
        <v>31</v>
      </c>
      <c r="F206" s="230"/>
      <c r="G206" s="255"/>
    </row>
    <row r="207" spans="1:7" ht="12" customHeight="1" x14ac:dyDescent="0.25">
      <c r="A207" s="419"/>
      <c r="B207" s="400"/>
      <c r="C207" s="420"/>
      <c r="D207" s="414"/>
      <c r="E207" s="415"/>
      <c r="F207" s="416"/>
      <c r="G207" s="421"/>
    </row>
    <row r="208" spans="1:7" ht="42" customHeight="1" x14ac:dyDescent="0.25">
      <c r="A208" s="292" t="s">
        <v>1304</v>
      </c>
      <c r="B208" s="138"/>
      <c r="C208" s="119" t="s">
        <v>576</v>
      </c>
      <c r="D208" s="210" t="s">
        <v>6</v>
      </c>
      <c r="E208" s="186">
        <v>7.2</v>
      </c>
      <c r="F208" s="230"/>
      <c r="G208" s="255"/>
    </row>
    <row r="209" spans="1:8" x14ac:dyDescent="0.25">
      <c r="A209" s="419"/>
      <c r="B209" s="400"/>
      <c r="C209" s="420"/>
      <c r="D209" s="414"/>
      <c r="E209" s="415"/>
      <c r="F209" s="416"/>
      <c r="G209" s="421"/>
    </row>
    <row r="210" spans="1:8" ht="37.9" customHeight="1" x14ac:dyDescent="0.25">
      <c r="A210" s="292"/>
      <c r="B210" s="138"/>
      <c r="C210" s="257" t="s">
        <v>2125</v>
      </c>
      <c r="D210" s="229"/>
      <c r="E210" s="186"/>
      <c r="F210" s="230"/>
      <c r="G210" s="222"/>
    </row>
    <row r="211" spans="1:8" ht="12" customHeight="1" x14ac:dyDescent="0.25">
      <c r="A211" s="419"/>
      <c r="B211" s="400"/>
      <c r="C211" s="420"/>
      <c r="D211" s="414"/>
      <c r="E211" s="415"/>
      <c r="F211" s="416"/>
      <c r="G211" s="421"/>
    </row>
    <row r="212" spans="1:8" ht="12" customHeight="1" x14ac:dyDescent="0.25">
      <c r="A212" s="292" t="s">
        <v>1305</v>
      </c>
      <c r="B212" s="138"/>
      <c r="C212" s="233" t="s">
        <v>515</v>
      </c>
      <c r="D212" s="210" t="s">
        <v>6</v>
      </c>
      <c r="E212" s="186">
        <f>19+8</f>
        <v>27</v>
      </c>
      <c r="F212" s="230"/>
      <c r="G212" s="255"/>
    </row>
    <row r="213" spans="1:8" ht="12" customHeight="1" x14ac:dyDescent="0.25">
      <c r="A213" s="419"/>
      <c r="B213" s="400"/>
      <c r="C213" s="420"/>
      <c r="D213" s="414"/>
      <c r="E213" s="415"/>
      <c r="F213" s="416"/>
      <c r="G213" s="421"/>
    </row>
    <row r="214" spans="1:8" ht="24" x14ac:dyDescent="0.25">
      <c r="A214" s="292" t="s">
        <v>1306</v>
      </c>
      <c r="B214" s="138"/>
      <c r="C214" s="233" t="s">
        <v>512</v>
      </c>
      <c r="D214" s="210" t="s">
        <v>6</v>
      </c>
      <c r="E214" s="186">
        <f>19+8</f>
        <v>27</v>
      </c>
      <c r="F214" s="230"/>
      <c r="G214" s="255"/>
    </row>
    <row r="215" spans="1:8" ht="12" customHeight="1" x14ac:dyDescent="0.25">
      <c r="A215" s="419"/>
      <c r="B215" s="400"/>
      <c r="C215" s="420"/>
      <c r="D215" s="414"/>
      <c r="E215" s="415"/>
      <c r="F215" s="416"/>
      <c r="G215" s="421"/>
    </row>
    <row r="216" spans="1:8" ht="24" x14ac:dyDescent="0.25">
      <c r="A216" s="292" t="s">
        <v>1307</v>
      </c>
      <c r="B216" s="138"/>
      <c r="C216" s="233" t="s">
        <v>513</v>
      </c>
      <c r="D216" s="210" t="s">
        <v>6</v>
      </c>
      <c r="E216" s="186">
        <f>19+8</f>
        <v>27</v>
      </c>
      <c r="F216" s="230"/>
      <c r="G216" s="255"/>
    </row>
    <row r="217" spans="1:8" ht="12" customHeight="1" x14ac:dyDescent="0.25">
      <c r="A217" s="419"/>
      <c r="B217" s="400"/>
      <c r="C217" s="420"/>
      <c r="D217" s="414"/>
      <c r="E217" s="415"/>
      <c r="F217" s="416"/>
      <c r="G217" s="421"/>
    </row>
    <row r="218" spans="1:8" ht="36" x14ac:dyDescent="0.25">
      <c r="A218" s="292" t="s">
        <v>1308</v>
      </c>
      <c r="B218" s="138"/>
      <c r="C218" s="233" t="s">
        <v>514</v>
      </c>
      <c r="D218" s="210" t="s">
        <v>6</v>
      </c>
      <c r="E218" s="186">
        <f>19+8</f>
        <v>27</v>
      </c>
      <c r="F218" s="230"/>
      <c r="G218" s="255"/>
      <c r="H218" s="198"/>
    </row>
    <row r="219" spans="1:8" ht="12" customHeight="1" x14ac:dyDescent="0.25">
      <c r="A219" s="419"/>
      <c r="B219" s="400"/>
      <c r="C219" s="420"/>
      <c r="D219" s="414"/>
      <c r="E219" s="415"/>
      <c r="F219" s="416"/>
      <c r="G219" s="421"/>
    </row>
    <row r="220" spans="1:8" ht="48" x14ac:dyDescent="0.25">
      <c r="A220" s="292"/>
      <c r="B220" s="138"/>
      <c r="C220" s="212" t="s">
        <v>2347</v>
      </c>
      <c r="D220" s="229"/>
      <c r="E220" s="186"/>
      <c r="F220" s="230"/>
      <c r="G220" s="222"/>
    </row>
    <row r="221" spans="1:8" ht="12" customHeight="1" x14ac:dyDescent="0.25">
      <c r="A221" s="419"/>
      <c r="B221" s="400"/>
      <c r="C221" s="420"/>
      <c r="D221" s="414"/>
      <c r="E221" s="415"/>
      <c r="F221" s="416"/>
      <c r="G221" s="421"/>
    </row>
    <row r="222" spans="1:8" ht="36" x14ac:dyDescent="0.25">
      <c r="A222" s="292" t="s">
        <v>1309</v>
      </c>
      <c r="B222" s="138"/>
      <c r="C222" s="233" t="s">
        <v>578</v>
      </c>
      <c r="D222" s="210" t="s">
        <v>6</v>
      </c>
      <c r="E222" s="186">
        <v>16</v>
      </c>
      <c r="F222" s="230"/>
      <c r="G222" s="255"/>
    </row>
    <row r="223" spans="1:8" ht="12" customHeight="1" x14ac:dyDescent="0.25">
      <c r="A223" s="419"/>
      <c r="B223" s="400"/>
      <c r="C223" s="420"/>
      <c r="D223" s="414"/>
      <c r="E223" s="415"/>
      <c r="F223" s="416"/>
      <c r="G223" s="421"/>
    </row>
    <row r="224" spans="1:8" ht="36" x14ac:dyDescent="0.25">
      <c r="A224" s="292" t="s">
        <v>1310</v>
      </c>
      <c r="B224" s="51"/>
      <c r="C224" s="233" t="s">
        <v>516</v>
      </c>
      <c r="D224" s="210" t="s">
        <v>6</v>
      </c>
      <c r="E224" s="186">
        <v>17.899999999999999</v>
      </c>
      <c r="F224" s="230"/>
      <c r="G224" s="255"/>
    </row>
    <row r="225" spans="1:7" ht="12" customHeight="1" x14ac:dyDescent="0.25">
      <c r="A225" s="419"/>
      <c r="B225" s="400"/>
      <c r="C225" s="420"/>
      <c r="D225" s="414"/>
      <c r="E225" s="415"/>
      <c r="F225" s="416"/>
      <c r="G225" s="421"/>
    </row>
    <row r="226" spans="1:7" ht="36" x14ac:dyDescent="0.25">
      <c r="A226" s="249" t="s">
        <v>1311</v>
      </c>
      <c r="B226" s="229"/>
      <c r="C226" s="233" t="s">
        <v>520</v>
      </c>
      <c r="D226" s="210" t="s">
        <v>6</v>
      </c>
      <c r="E226" s="186">
        <f>E222+E224</f>
        <v>33.9</v>
      </c>
      <c r="F226" s="242"/>
      <c r="G226" s="255"/>
    </row>
    <row r="227" spans="1:7" x14ac:dyDescent="0.25">
      <c r="A227" s="419"/>
      <c r="B227" s="400"/>
      <c r="C227" s="420"/>
      <c r="D227" s="414"/>
      <c r="E227" s="415"/>
      <c r="F227" s="416"/>
      <c r="G227" s="421"/>
    </row>
    <row r="228" spans="1:7" ht="24" x14ac:dyDescent="0.25">
      <c r="A228" s="256"/>
      <c r="B228" s="229"/>
      <c r="C228" s="218" t="s">
        <v>982</v>
      </c>
      <c r="D228" s="210"/>
      <c r="E228" s="186"/>
      <c r="F228" s="242"/>
      <c r="G228" s="255"/>
    </row>
    <row r="229" spans="1:7" x14ac:dyDescent="0.25">
      <c r="A229" s="419"/>
      <c r="B229" s="400"/>
      <c r="C229" s="420"/>
      <c r="D229" s="414"/>
      <c r="E229" s="415"/>
      <c r="F229" s="416"/>
      <c r="G229" s="421"/>
    </row>
    <row r="230" spans="1:7" ht="60" x14ac:dyDescent="0.25">
      <c r="A230" s="249" t="s">
        <v>1312</v>
      </c>
      <c r="B230" s="229"/>
      <c r="C230" s="233" t="s">
        <v>588</v>
      </c>
      <c r="D230" s="210" t="s">
        <v>8</v>
      </c>
      <c r="E230" s="186">
        <v>1</v>
      </c>
      <c r="F230" s="242"/>
      <c r="G230" s="255"/>
    </row>
    <row r="231" spans="1:7" x14ac:dyDescent="0.25">
      <c r="A231" s="419"/>
      <c r="B231" s="400"/>
      <c r="C231" s="420"/>
      <c r="D231" s="414"/>
      <c r="E231" s="415"/>
      <c r="F231" s="416"/>
      <c r="G231" s="421"/>
    </row>
    <row r="232" spans="1:7" ht="28.5" customHeight="1" x14ac:dyDescent="0.25">
      <c r="A232" s="527" t="s">
        <v>609</v>
      </c>
      <c r="B232" s="527"/>
      <c r="C232" s="527"/>
      <c r="D232" s="527"/>
      <c r="E232" s="527"/>
      <c r="F232" s="527"/>
      <c r="G232" s="328"/>
    </row>
    <row r="233" spans="1:7" ht="28.5" customHeight="1" x14ac:dyDescent="0.25">
      <c r="A233" s="527" t="s">
        <v>610</v>
      </c>
      <c r="B233" s="527"/>
      <c r="C233" s="527"/>
      <c r="D233" s="527"/>
      <c r="E233" s="527"/>
      <c r="F233" s="527"/>
      <c r="G233" s="328"/>
    </row>
    <row r="234" spans="1:7" x14ac:dyDescent="0.25">
      <c r="A234" s="419"/>
      <c r="B234" s="400"/>
      <c r="C234" s="420"/>
      <c r="D234" s="414"/>
      <c r="E234" s="415"/>
      <c r="F234" s="416"/>
      <c r="G234" s="421"/>
    </row>
    <row r="235" spans="1:7" ht="48" x14ac:dyDescent="0.25">
      <c r="A235" s="256"/>
      <c r="B235" s="229"/>
      <c r="C235" s="275" t="s">
        <v>2124</v>
      </c>
      <c r="D235" s="210"/>
      <c r="E235" s="186"/>
      <c r="F235" s="242"/>
      <c r="G235" s="255"/>
    </row>
    <row r="236" spans="1:7" x14ac:dyDescent="0.25">
      <c r="A236" s="419"/>
      <c r="B236" s="400"/>
      <c r="C236" s="420"/>
      <c r="D236" s="414"/>
      <c r="E236" s="415"/>
      <c r="F236" s="416"/>
      <c r="G236" s="421"/>
    </row>
    <row r="237" spans="1:7" x14ac:dyDescent="0.25">
      <c r="A237" s="249" t="s">
        <v>1313</v>
      </c>
      <c r="B237" s="229"/>
      <c r="C237" s="233" t="s">
        <v>983</v>
      </c>
      <c r="D237" s="210" t="s">
        <v>28</v>
      </c>
      <c r="E237" s="186">
        <v>1</v>
      </c>
      <c r="F237" s="242"/>
      <c r="G237" s="255"/>
    </row>
    <row r="238" spans="1:7" x14ac:dyDescent="0.25">
      <c r="A238" s="419"/>
      <c r="B238" s="400"/>
      <c r="C238" s="420"/>
      <c r="D238" s="414"/>
      <c r="E238" s="415"/>
      <c r="F238" s="416"/>
      <c r="G238" s="421"/>
    </row>
    <row r="239" spans="1:7" x14ac:dyDescent="0.25">
      <c r="A239" s="249" t="s">
        <v>1314</v>
      </c>
      <c r="B239" s="229"/>
      <c r="C239" s="233" t="s">
        <v>984</v>
      </c>
      <c r="D239" s="210" t="s">
        <v>28</v>
      </c>
      <c r="E239" s="186">
        <v>1</v>
      </c>
      <c r="F239" s="242"/>
      <c r="G239" s="255"/>
    </row>
    <row r="240" spans="1:7" x14ac:dyDescent="0.25">
      <c r="A240" s="419"/>
      <c r="B240" s="400"/>
      <c r="C240" s="420"/>
      <c r="D240" s="414"/>
      <c r="E240" s="415"/>
      <c r="F240" s="416"/>
      <c r="G240" s="421"/>
    </row>
    <row r="241" spans="1:7" ht="36" x14ac:dyDescent="0.25">
      <c r="A241" s="249" t="s">
        <v>1315</v>
      </c>
      <c r="B241" s="229"/>
      <c r="C241" s="119" t="s">
        <v>997</v>
      </c>
      <c r="D241" s="210" t="s">
        <v>8</v>
      </c>
      <c r="E241" s="241">
        <v>1</v>
      </c>
      <c r="F241" s="242"/>
      <c r="G241" s="255"/>
    </row>
    <row r="242" spans="1:7" x14ac:dyDescent="0.25">
      <c r="A242" s="419"/>
      <c r="B242" s="400"/>
      <c r="C242" s="420"/>
      <c r="D242" s="414"/>
      <c r="E242" s="415"/>
      <c r="F242" s="416"/>
      <c r="G242" s="421"/>
    </row>
    <row r="243" spans="1:7" x14ac:dyDescent="0.25">
      <c r="A243" s="256"/>
      <c r="B243" s="229"/>
      <c r="C243" s="257" t="s">
        <v>587</v>
      </c>
      <c r="D243" s="210"/>
      <c r="E243" s="186"/>
      <c r="F243" s="242"/>
      <c r="G243" s="255"/>
    </row>
    <row r="244" spans="1:7" x14ac:dyDescent="0.25">
      <c r="A244" s="419"/>
      <c r="B244" s="400"/>
      <c r="C244" s="420"/>
      <c r="D244" s="414"/>
      <c r="E244" s="415"/>
      <c r="F244" s="416"/>
      <c r="G244" s="421"/>
    </row>
    <row r="245" spans="1:7" ht="60" x14ac:dyDescent="0.25">
      <c r="A245" s="249" t="s">
        <v>1316</v>
      </c>
      <c r="B245" s="210" t="s">
        <v>2186</v>
      </c>
      <c r="C245" s="233" t="s">
        <v>579</v>
      </c>
      <c r="D245" s="142" t="s">
        <v>87</v>
      </c>
      <c r="E245" s="186">
        <f>ROUND(16.92*0.8,1)</f>
        <v>13.5</v>
      </c>
      <c r="F245" s="242"/>
      <c r="G245" s="255"/>
    </row>
    <row r="246" spans="1:7" x14ac:dyDescent="0.25">
      <c r="A246" s="419"/>
      <c r="B246" s="400"/>
      <c r="C246" s="420"/>
      <c r="D246" s="414"/>
      <c r="E246" s="415"/>
      <c r="F246" s="416"/>
      <c r="G246" s="421"/>
    </row>
    <row r="247" spans="1:7" ht="60" x14ac:dyDescent="0.25">
      <c r="A247" s="249" t="s">
        <v>1317</v>
      </c>
      <c r="B247" s="210" t="s">
        <v>2186</v>
      </c>
      <c r="C247" s="233" t="s">
        <v>580</v>
      </c>
      <c r="D247" s="142" t="s">
        <v>87</v>
      </c>
      <c r="E247" s="186">
        <f>ROUND(16.92*2.2,1)</f>
        <v>37.200000000000003</v>
      </c>
      <c r="F247" s="242"/>
      <c r="G247" s="255"/>
    </row>
    <row r="248" spans="1:7" x14ac:dyDescent="0.25">
      <c r="A248" s="419"/>
      <c r="B248" s="400"/>
      <c r="C248" s="420"/>
      <c r="D248" s="414"/>
      <c r="E248" s="415"/>
      <c r="F248" s="416"/>
      <c r="G248" s="421"/>
    </row>
    <row r="249" spans="1:7" x14ac:dyDescent="0.25">
      <c r="A249" s="249" t="s">
        <v>1318</v>
      </c>
      <c r="B249" s="229"/>
      <c r="C249" s="233" t="s">
        <v>582</v>
      </c>
      <c r="D249" s="210" t="s">
        <v>8</v>
      </c>
      <c r="E249" s="186">
        <f>+ROUNDUP((0.3*4*2*2)+(0.3*4*2*2),0)</f>
        <v>10</v>
      </c>
      <c r="F249" s="242"/>
      <c r="G249" s="255"/>
    </row>
    <row r="250" spans="1:7" x14ac:dyDescent="0.25">
      <c r="A250" s="419"/>
      <c r="B250" s="400"/>
      <c r="C250" s="420"/>
      <c r="D250" s="414"/>
      <c r="E250" s="415"/>
      <c r="F250" s="416"/>
      <c r="G250" s="421"/>
    </row>
    <row r="251" spans="1:7" ht="36" x14ac:dyDescent="0.25">
      <c r="A251" s="249" t="s">
        <v>1319</v>
      </c>
      <c r="B251" s="229"/>
      <c r="C251" s="119" t="s">
        <v>581</v>
      </c>
      <c r="D251" s="142" t="s">
        <v>87</v>
      </c>
      <c r="E251" s="186">
        <f>16+21.9</f>
        <v>37.9</v>
      </c>
      <c r="F251" s="242"/>
      <c r="G251" s="255"/>
    </row>
    <row r="252" spans="1:7" x14ac:dyDescent="0.25">
      <c r="A252" s="419"/>
      <c r="B252" s="400"/>
      <c r="C252" s="420"/>
      <c r="D252" s="414"/>
      <c r="E252" s="415"/>
      <c r="F252" s="416"/>
      <c r="G252" s="421"/>
    </row>
    <row r="253" spans="1:7" ht="36" x14ac:dyDescent="0.25">
      <c r="A253" s="249" t="s">
        <v>1320</v>
      </c>
      <c r="B253" s="229"/>
      <c r="C253" s="233" t="s">
        <v>584</v>
      </c>
      <c r="D253" s="210" t="s">
        <v>8</v>
      </c>
      <c r="E253" s="186">
        <v>1</v>
      </c>
      <c r="F253" s="242"/>
      <c r="G253" s="255"/>
    </row>
    <row r="254" spans="1:7" x14ac:dyDescent="0.25">
      <c r="A254" s="419"/>
      <c r="B254" s="400"/>
      <c r="C254" s="420"/>
      <c r="D254" s="414"/>
      <c r="E254" s="415"/>
      <c r="F254" s="416"/>
      <c r="G254" s="421"/>
    </row>
    <row r="255" spans="1:7" ht="48" x14ac:dyDescent="0.25">
      <c r="A255" s="249" t="s">
        <v>1321</v>
      </c>
      <c r="B255" s="229"/>
      <c r="C255" s="233" t="s">
        <v>585</v>
      </c>
      <c r="D255" s="210" t="s">
        <v>8</v>
      </c>
      <c r="E255" s="186">
        <v>2</v>
      </c>
      <c r="F255" s="242"/>
      <c r="G255" s="255"/>
    </row>
    <row r="256" spans="1:7" x14ac:dyDescent="0.25">
      <c r="A256" s="419"/>
      <c r="B256" s="400"/>
      <c r="C256" s="420"/>
      <c r="D256" s="414"/>
      <c r="E256" s="415"/>
      <c r="F256" s="416"/>
      <c r="G256" s="421"/>
    </row>
    <row r="257" spans="1:7" ht="36" x14ac:dyDescent="0.25">
      <c r="A257" s="249" t="s">
        <v>1322</v>
      </c>
      <c r="B257" s="229"/>
      <c r="C257" s="233" t="s">
        <v>586</v>
      </c>
      <c r="D257" s="210" t="s">
        <v>6</v>
      </c>
      <c r="E257" s="186">
        <v>6</v>
      </c>
      <c r="F257" s="242"/>
      <c r="G257" s="255"/>
    </row>
    <row r="258" spans="1:7" x14ac:dyDescent="0.25">
      <c r="A258" s="419"/>
      <c r="B258" s="400"/>
      <c r="C258" s="420"/>
      <c r="D258" s="414"/>
      <c r="E258" s="415"/>
      <c r="F258" s="416"/>
      <c r="G258" s="421"/>
    </row>
    <row r="259" spans="1:7" x14ac:dyDescent="0.25">
      <c r="A259" s="256"/>
      <c r="B259" s="229"/>
      <c r="C259" s="233"/>
      <c r="D259" s="210"/>
      <c r="E259" s="186"/>
      <c r="F259" s="242"/>
      <c r="G259" s="255"/>
    </row>
    <row r="260" spans="1:7" x14ac:dyDescent="0.25">
      <c r="A260" s="419"/>
      <c r="B260" s="400"/>
      <c r="C260" s="420"/>
      <c r="D260" s="414"/>
      <c r="E260" s="415"/>
      <c r="F260" s="416"/>
      <c r="G260" s="421"/>
    </row>
    <row r="261" spans="1:7" x14ac:dyDescent="0.25">
      <c r="A261" s="256"/>
      <c r="B261" s="229"/>
      <c r="C261" s="233"/>
      <c r="D261" s="210"/>
      <c r="E261" s="186"/>
      <c r="F261" s="242"/>
      <c r="G261" s="255"/>
    </row>
    <row r="262" spans="1:7" x14ac:dyDescent="0.25">
      <c r="A262" s="419"/>
      <c r="B262" s="400"/>
      <c r="C262" s="420"/>
      <c r="D262" s="414"/>
      <c r="E262" s="415"/>
      <c r="F262" s="416"/>
      <c r="G262" s="421"/>
    </row>
    <row r="263" spans="1:7" x14ac:dyDescent="0.25">
      <c r="A263" s="256"/>
      <c r="B263" s="229"/>
      <c r="C263" s="233"/>
      <c r="D263" s="210"/>
      <c r="E263" s="186"/>
      <c r="F263" s="242"/>
      <c r="G263" s="255"/>
    </row>
    <row r="264" spans="1:7" x14ac:dyDescent="0.25">
      <c r="A264" s="419"/>
      <c r="B264" s="400"/>
      <c r="C264" s="420"/>
      <c r="D264" s="414"/>
      <c r="E264" s="415"/>
      <c r="F264" s="416"/>
      <c r="G264" s="421"/>
    </row>
    <row r="265" spans="1:7" ht="28.5" customHeight="1" x14ac:dyDescent="0.25">
      <c r="A265" s="527" t="s">
        <v>609</v>
      </c>
      <c r="B265" s="527"/>
      <c r="C265" s="527"/>
      <c r="D265" s="527"/>
      <c r="E265" s="527"/>
      <c r="F265" s="527"/>
      <c r="G265" s="328"/>
    </row>
    <row r="266" spans="1:7" ht="28.5" customHeight="1" x14ac:dyDescent="0.25">
      <c r="A266" s="527" t="s">
        <v>610</v>
      </c>
      <c r="B266" s="527"/>
      <c r="C266" s="527"/>
      <c r="D266" s="527"/>
      <c r="E266" s="527"/>
      <c r="F266" s="527"/>
      <c r="G266" s="328"/>
    </row>
    <row r="267" spans="1:7" x14ac:dyDescent="0.25">
      <c r="A267" s="419"/>
      <c r="B267" s="400"/>
      <c r="C267" s="420"/>
      <c r="D267" s="414"/>
      <c r="E267" s="415"/>
      <c r="F267" s="416"/>
      <c r="G267" s="421"/>
    </row>
    <row r="268" spans="1:7" ht="24" x14ac:dyDescent="0.25">
      <c r="A268" s="314" t="s">
        <v>1329</v>
      </c>
      <c r="B268" s="138" t="s">
        <v>3</v>
      </c>
      <c r="C268" s="60" t="s">
        <v>4</v>
      </c>
      <c r="D268" s="210"/>
      <c r="E268" s="186"/>
      <c r="F268" s="242"/>
      <c r="G268" s="255"/>
    </row>
    <row r="269" spans="1:7" x14ac:dyDescent="0.25">
      <c r="A269" s="419"/>
      <c r="B269" s="400"/>
      <c r="C269" s="420"/>
      <c r="D269" s="414"/>
      <c r="E269" s="415"/>
      <c r="F269" s="416"/>
      <c r="G269" s="421"/>
    </row>
    <row r="270" spans="1:7" x14ac:dyDescent="0.25">
      <c r="A270" s="314"/>
      <c r="B270" s="138"/>
      <c r="C270" s="220" t="s">
        <v>413</v>
      </c>
      <c r="D270" s="210"/>
      <c r="E270" s="186"/>
      <c r="F270" s="242"/>
      <c r="G270" s="255"/>
    </row>
    <row r="271" spans="1:7" x14ac:dyDescent="0.25">
      <c r="A271" s="419"/>
      <c r="B271" s="400"/>
      <c r="C271" s="420"/>
      <c r="D271" s="414"/>
      <c r="E271" s="415"/>
      <c r="F271" s="416"/>
      <c r="G271" s="421"/>
    </row>
    <row r="272" spans="1:7" ht="24" x14ac:dyDescent="0.25">
      <c r="A272" s="314"/>
      <c r="B272" s="138"/>
      <c r="C272" s="119" t="s">
        <v>454</v>
      </c>
      <c r="D272" s="210"/>
      <c r="E272" s="186"/>
      <c r="F272" s="242"/>
      <c r="G272" s="255"/>
    </row>
    <row r="273" spans="1:7" x14ac:dyDescent="0.25">
      <c r="A273" s="419"/>
      <c r="B273" s="400"/>
      <c r="C273" s="420"/>
      <c r="D273" s="414"/>
      <c r="E273" s="415"/>
      <c r="F273" s="416"/>
      <c r="G273" s="421"/>
    </row>
    <row r="274" spans="1:7" ht="24" x14ac:dyDescent="0.25">
      <c r="A274" s="314"/>
      <c r="B274" s="138"/>
      <c r="C274" s="119" t="s">
        <v>823</v>
      </c>
      <c r="D274" s="210"/>
      <c r="E274" s="186"/>
      <c r="F274" s="242"/>
      <c r="G274" s="255"/>
    </row>
    <row r="275" spans="1:7" x14ac:dyDescent="0.25">
      <c r="A275" s="419"/>
      <c r="B275" s="400"/>
      <c r="C275" s="420"/>
      <c r="D275" s="414"/>
      <c r="E275" s="415"/>
      <c r="F275" s="416"/>
      <c r="G275" s="421"/>
    </row>
    <row r="276" spans="1:7" x14ac:dyDescent="0.25">
      <c r="A276" s="314"/>
      <c r="B276" s="138"/>
      <c r="C276" s="220" t="s">
        <v>414</v>
      </c>
      <c r="D276" s="210"/>
      <c r="E276" s="186"/>
      <c r="F276" s="242"/>
      <c r="G276" s="255"/>
    </row>
    <row r="277" spans="1:7" x14ac:dyDescent="0.25">
      <c r="A277" s="419"/>
      <c r="B277" s="400"/>
      <c r="C277" s="420"/>
      <c r="D277" s="414"/>
      <c r="E277" s="415"/>
      <c r="F277" s="416"/>
      <c r="G277" s="421"/>
    </row>
    <row r="278" spans="1:7" ht="36" x14ac:dyDescent="0.25">
      <c r="A278" s="314"/>
      <c r="B278" s="138"/>
      <c r="C278" s="119" t="s">
        <v>895</v>
      </c>
      <c r="D278" s="210"/>
      <c r="E278" s="186"/>
      <c r="F278" s="242"/>
      <c r="G278" s="255"/>
    </row>
    <row r="279" spans="1:7" x14ac:dyDescent="0.25">
      <c r="A279" s="419"/>
      <c r="B279" s="400"/>
      <c r="C279" s="420"/>
      <c r="D279" s="414"/>
      <c r="E279" s="415"/>
      <c r="F279" s="416"/>
      <c r="G279" s="421"/>
    </row>
    <row r="280" spans="1:7" ht="36" x14ac:dyDescent="0.25">
      <c r="A280" s="256"/>
      <c r="B280" s="229"/>
      <c r="C280" s="272" t="s">
        <v>985</v>
      </c>
      <c r="D280" s="210"/>
      <c r="E280" s="186"/>
      <c r="F280" s="242"/>
      <c r="G280" s="255"/>
    </row>
    <row r="281" spans="1:7" x14ac:dyDescent="0.25">
      <c r="A281" s="419"/>
      <c r="B281" s="400"/>
      <c r="C281" s="420"/>
      <c r="D281" s="414"/>
      <c r="E281" s="415"/>
      <c r="F281" s="416"/>
      <c r="G281" s="421"/>
    </row>
    <row r="282" spans="1:7" ht="24" x14ac:dyDescent="0.25">
      <c r="A282" s="249" t="s">
        <v>1330</v>
      </c>
      <c r="B282" s="210" t="s">
        <v>205</v>
      </c>
      <c r="C282" s="233" t="s">
        <v>986</v>
      </c>
      <c r="D282" s="210" t="s">
        <v>8</v>
      </c>
      <c r="E282" s="186">
        <v>2</v>
      </c>
      <c r="F282" s="242"/>
      <c r="G282" s="255"/>
    </row>
    <row r="283" spans="1:7" x14ac:dyDescent="0.25">
      <c r="A283" s="419"/>
      <c r="B283" s="400"/>
      <c r="C283" s="420"/>
      <c r="D283" s="414"/>
      <c r="E283" s="415"/>
      <c r="F283" s="416"/>
      <c r="G283" s="421"/>
    </row>
    <row r="284" spans="1:7" ht="24" x14ac:dyDescent="0.25">
      <c r="A284" s="256"/>
      <c r="B284" s="221" t="s">
        <v>13</v>
      </c>
      <c r="C284" s="212" t="s">
        <v>412</v>
      </c>
      <c r="D284" s="210"/>
      <c r="E284" s="186"/>
      <c r="F284" s="242"/>
      <c r="G284" s="255"/>
    </row>
    <row r="285" spans="1:7" x14ac:dyDescent="0.25">
      <c r="A285" s="419"/>
      <c r="B285" s="400"/>
      <c r="C285" s="420"/>
      <c r="D285" s="414"/>
      <c r="E285" s="415"/>
      <c r="F285" s="416"/>
      <c r="G285" s="421"/>
    </row>
    <row r="286" spans="1:7" ht="24" x14ac:dyDescent="0.25">
      <c r="A286" s="249" t="s">
        <v>1331</v>
      </c>
      <c r="B286" s="229"/>
      <c r="C286" s="119" t="s">
        <v>589</v>
      </c>
      <c r="D286" s="210" t="s">
        <v>8</v>
      </c>
      <c r="E286" s="186">
        <v>3</v>
      </c>
      <c r="F286" s="242"/>
      <c r="G286" s="255"/>
    </row>
    <row r="287" spans="1:7" x14ac:dyDescent="0.25">
      <c r="A287" s="419"/>
      <c r="B287" s="400"/>
      <c r="C287" s="420"/>
      <c r="D287" s="414"/>
      <c r="E287" s="415"/>
      <c r="F287" s="416"/>
      <c r="G287" s="421"/>
    </row>
    <row r="288" spans="1:7" ht="36" x14ac:dyDescent="0.25">
      <c r="A288" s="249" t="s">
        <v>1332</v>
      </c>
      <c r="B288" s="229"/>
      <c r="C288" s="119" t="s">
        <v>598</v>
      </c>
      <c r="D288" s="210" t="s">
        <v>8</v>
      </c>
      <c r="E288" s="186">
        <v>6</v>
      </c>
      <c r="F288" s="242"/>
      <c r="G288" s="255"/>
    </row>
    <row r="289" spans="1:15" x14ac:dyDescent="0.25">
      <c r="A289" s="419"/>
      <c r="B289" s="400"/>
      <c r="C289" s="420"/>
      <c r="D289" s="414"/>
      <c r="E289" s="415"/>
      <c r="F289" s="416"/>
      <c r="G289" s="421"/>
    </row>
    <row r="290" spans="1:15" ht="24" x14ac:dyDescent="0.25">
      <c r="A290" s="249" t="s">
        <v>1333</v>
      </c>
      <c r="B290" s="229"/>
      <c r="C290" s="119" t="s">
        <v>590</v>
      </c>
      <c r="D290" s="210" t="s">
        <v>8</v>
      </c>
      <c r="E290" s="186">
        <v>3</v>
      </c>
      <c r="F290" s="242"/>
      <c r="G290" s="255"/>
    </row>
    <row r="291" spans="1:15" x14ac:dyDescent="0.25">
      <c r="A291" s="419"/>
      <c r="B291" s="400"/>
      <c r="C291" s="420"/>
      <c r="D291" s="414"/>
      <c r="E291" s="415"/>
      <c r="F291" s="416"/>
      <c r="G291" s="421"/>
    </row>
    <row r="292" spans="1:15" ht="36" x14ac:dyDescent="0.25">
      <c r="A292" s="249" t="s">
        <v>1334</v>
      </c>
      <c r="B292" s="229"/>
      <c r="C292" s="119" t="s">
        <v>591</v>
      </c>
      <c r="D292" s="210" t="s">
        <v>8</v>
      </c>
      <c r="E292" s="186">
        <v>3</v>
      </c>
      <c r="F292" s="242"/>
      <c r="G292" s="255"/>
    </row>
    <row r="293" spans="1:15" x14ac:dyDescent="0.25">
      <c r="A293" s="419"/>
      <c r="B293" s="400"/>
      <c r="C293" s="420"/>
      <c r="D293" s="414"/>
      <c r="E293" s="415"/>
      <c r="F293" s="416"/>
      <c r="G293" s="421"/>
    </row>
    <row r="294" spans="1:15" ht="36" x14ac:dyDescent="0.25">
      <c r="A294" s="249" t="s">
        <v>1335</v>
      </c>
      <c r="B294" s="229"/>
      <c r="C294" s="119" t="s">
        <v>592</v>
      </c>
      <c r="D294" s="210" t="s">
        <v>8</v>
      </c>
      <c r="E294" s="186">
        <v>1</v>
      </c>
      <c r="F294" s="242"/>
      <c r="G294" s="255"/>
    </row>
    <row r="295" spans="1:15" x14ac:dyDescent="0.25">
      <c r="A295" s="419"/>
      <c r="B295" s="400"/>
      <c r="C295" s="420"/>
      <c r="D295" s="414"/>
      <c r="E295" s="415"/>
      <c r="F295" s="416"/>
      <c r="G295" s="421"/>
    </row>
    <row r="296" spans="1:15" ht="24" x14ac:dyDescent="0.25">
      <c r="A296" s="249" t="s">
        <v>1336</v>
      </c>
      <c r="B296" s="229"/>
      <c r="C296" s="119" t="s">
        <v>593</v>
      </c>
      <c r="D296" s="210" t="s">
        <v>8</v>
      </c>
      <c r="E296" s="186">
        <v>3</v>
      </c>
      <c r="F296" s="242"/>
      <c r="G296" s="255"/>
    </row>
    <row r="297" spans="1:15" x14ac:dyDescent="0.25">
      <c r="A297" s="419"/>
      <c r="B297" s="400"/>
      <c r="C297" s="420"/>
      <c r="D297" s="414"/>
      <c r="E297" s="415"/>
      <c r="F297" s="416"/>
      <c r="G297" s="421"/>
    </row>
    <row r="298" spans="1:15" ht="36" x14ac:dyDescent="0.25">
      <c r="A298" s="249" t="s">
        <v>1337</v>
      </c>
      <c r="B298" s="229"/>
      <c r="C298" s="119" t="s">
        <v>594</v>
      </c>
      <c r="D298" s="210" t="s">
        <v>8</v>
      </c>
      <c r="E298" s="186">
        <v>1</v>
      </c>
      <c r="F298" s="242"/>
      <c r="G298" s="255"/>
    </row>
    <row r="299" spans="1:15" x14ac:dyDescent="0.25">
      <c r="A299" s="419"/>
      <c r="B299" s="400"/>
      <c r="C299" s="420"/>
      <c r="D299" s="414"/>
      <c r="E299" s="415"/>
      <c r="F299" s="416"/>
      <c r="G299" s="421"/>
    </row>
    <row r="300" spans="1:15" ht="28.5" customHeight="1" x14ac:dyDescent="0.25">
      <c r="A300" s="527" t="s">
        <v>609</v>
      </c>
      <c r="B300" s="527"/>
      <c r="C300" s="527"/>
      <c r="D300" s="527"/>
      <c r="E300" s="527"/>
      <c r="F300" s="527"/>
      <c r="G300" s="328"/>
    </row>
    <row r="301" spans="1:15" ht="28.5" customHeight="1" x14ac:dyDescent="0.25">
      <c r="A301" s="527" t="s">
        <v>610</v>
      </c>
      <c r="B301" s="527"/>
      <c r="C301" s="527"/>
      <c r="D301" s="527"/>
      <c r="E301" s="527"/>
      <c r="F301" s="527"/>
      <c r="G301" s="328"/>
    </row>
    <row r="302" spans="1:15" ht="12.75" x14ac:dyDescent="0.25">
      <c r="A302" s="419"/>
      <c r="B302" s="400"/>
      <c r="C302" s="420"/>
      <c r="D302" s="414"/>
      <c r="E302" s="415"/>
      <c r="F302" s="416"/>
      <c r="G302" s="421"/>
      <c r="M302" s="155" t="s">
        <v>603</v>
      </c>
      <c r="N302" s="32">
        <v>477</v>
      </c>
      <c r="O302" s="156" t="e">
        <f>+N302/#REF!</f>
        <v>#REF!</v>
      </c>
    </row>
    <row r="303" spans="1:15" ht="36" x14ac:dyDescent="0.25">
      <c r="A303" s="249" t="s">
        <v>1338</v>
      </c>
      <c r="B303" s="229"/>
      <c r="C303" s="119" t="s">
        <v>595</v>
      </c>
      <c r="D303" s="210" t="s">
        <v>8</v>
      </c>
      <c r="E303" s="186">
        <v>1</v>
      </c>
      <c r="F303" s="242"/>
      <c r="G303" s="255"/>
      <c r="M303" s="155"/>
      <c r="N303" s="32"/>
      <c r="O303" s="156"/>
    </row>
    <row r="304" spans="1:15" ht="12.75" x14ac:dyDescent="0.25">
      <c r="A304" s="419"/>
      <c r="B304" s="400"/>
      <c r="C304" s="420"/>
      <c r="D304" s="414"/>
      <c r="E304" s="415"/>
      <c r="F304" s="416"/>
      <c r="G304" s="421"/>
      <c r="M304" s="155"/>
      <c r="N304" s="32"/>
      <c r="O304" s="156"/>
    </row>
    <row r="305" spans="1:15" ht="24" x14ac:dyDescent="0.25">
      <c r="A305" s="249" t="s">
        <v>1339</v>
      </c>
      <c r="B305" s="229"/>
      <c r="C305" s="119" t="s">
        <v>596</v>
      </c>
      <c r="D305" s="210" t="s">
        <v>8</v>
      </c>
      <c r="E305" s="186">
        <v>1</v>
      </c>
      <c r="F305" s="242"/>
      <c r="G305" s="255"/>
      <c r="M305" s="155" t="s">
        <v>604</v>
      </c>
      <c r="N305" s="32">
        <v>580</v>
      </c>
      <c r="O305" s="156">
        <f>+N305/N302</f>
        <v>1.2159329140461217</v>
      </c>
    </row>
    <row r="306" spans="1:15" ht="12.75" x14ac:dyDescent="0.25">
      <c r="A306" s="419"/>
      <c r="B306" s="400"/>
      <c r="C306" s="420"/>
      <c r="D306" s="414"/>
      <c r="E306" s="415"/>
      <c r="F306" s="416"/>
      <c r="G306" s="421"/>
      <c r="M306" s="155" t="s">
        <v>605</v>
      </c>
      <c r="N306" s="32">
        <v>580</v>
      </c>
      <c r="O306" s="156">
        <f>+N306/N305</f>
        <v>1</v>
      </c>
    </row>
    <row r="307" spans="1:15" ht="36" x14ac:dyDescent="0.25">
      <c r="A307" s="249" t="s">
        <v>1340</v>
      </c>
      <c r="B307" s="229"/>
      <c r="C307" s="119" t="s">
        <v>597</v>
      </c>
      <c r="D307" s="210" t="s">
        <v>8</v>
      </c>
      <c r="E307" s="186">
        <v>1</v>
      </c>
      <c r="F307" s="242"/>
      <c r="G307" s="255"/>
      <c r="M307" s="155" t="s">
        <v>606</v>
      </c>
      <c r="N307" s="32">
        <v>920</v>
      </c>
      <c r="O307" s="156">
        <f>+N307/N306</f>
        <v>1.5862068965517242</v>
      </c>
    </row>
    <row r="308" spans="1:15" x14ac:dyDescent="0.25">
      <c r="A308" s="419"/>
      <c r="B308" s="400"/>
      <c r="C308" s="420"/>
      <c r="D308" s="414"/>
      <c r="E308" s="415"/>
      <c r="F308" s="416"/>
      <c r="G308" s="421"/>
      <c r="M308" s="120" t="s">
        <v>607</v>
      </c>
      <c r="N308" s="21">
        <f>+N307*O307</f>
        <v>1459.3103448275863</v>
      </c>
    </row>
    <row r="309" spans="1:15" ht="24" x14ac:dyDescent="0.25">
      <c r="A309" s="249" t="s">
        <v>1341</v>
      </c>
      <c r="B309" s="229"/>
      <c r="C309" s="119" t="s">
        <v>599</v>
      </c>
      <c r="D309" s="210" t="s">
        <v>8</v>
      </c>
      <c r="E309" s="186">
        <v>1</v>
      </c>
      <c r="F309" s="242"/>
      <c r="G309" s="255"/>
    </row>
    <row r="310" spans="1:15" x14ac:dyDescent="0.25">
      <c r="A310" s="419"/>
      <c r="B310" s="400"/>
      <c r="C310" s="420"/>
      <c r="D310" s="414"/>
      <c r="E310" s="415"/>
      <c r="F310" s="416"/>
      <c r="G310" s="421"/>
    </row>
    <row r="311" spans="1:15" ht="24" x14ac:dyDescent="0.25">
      <c r="A311" s="249" t="s">
        <v>1342</v>
      </c>
      <c r="B311" s="229"/>
      <c r="C311" s="119" t="s">
        <v>600</v>
      </c>
      <c r="D311" s="210" t="s">
        <v>8</v>
      </c>
      <c r="E311" s="186">
        <v>1</v>
      </c>
      <c r="F311" s="242"/>
      <c r="G311" s="255"/>
    </row>
    <row r="312" spans="1:15" x14ac:dyDescent="0.25">
      <c r="A312" s="419"/>
      <c r="B312" s="400"/>
      <c r="C312" s="420"/>
      <c r="D312" s="414"/>
      <c r="E312" s="415"/>
      <c r="F312" s="416"/>
      <c r="G312" s="421"/>
    </row>
    <row r="313" spans="1:15" ht="36" x14ac:dyDescent="0.25">
      <c r="A313" s="249" t="s">
        <v>1343</v>
      </c>
      <c r="B313" s="229"/>
      <c r="C313" s="233" t="s">
        <v>601</v>
      </c>
      <c r="D313" s="210" t="s">
        <v>8</v>
      </c>
      <c r="E313" s="186">
        <v>1</v>
      </c>
      <c r="F313" s="242"/>
      <c r="G313" s="255"/>
    </row>
    <row r="314" spans="1:15" x14ac:dyDescent="0.25">
      <c r="A314" s="419"/>
      <c r="B314" s="400"/>
      <c r="C314" s="420"/>
      <c r="D314" s="414"/>
      <c r="E314" s="415"/>
      <c r="F314" s="416"/>
      <c r="G314" s="421"/>
    </row>
    <row r="315" spans="1:15" ht="36" x14ac:dyDescent="0.25">
      <c r="A315" s="249" t="s">
        <v>1344</v>
      </c>
      <c r="B315" s="229"/>
      <c r="C315" s="233" t="s">
        <v>602</v>
      </c>
      <c r="D315" s="210" t="s">
        <v>8</v>
      </c>
      <c r="E315" s="186">
        <v>2</v>
      </c>
      <c r="F315" s="242"/>
      <c r="G315" s="255"/>
    </row>
    <row r="316" spans="1:15" x14ac:dyDescent="0.25">
      <c r="A316" s="419"/>
      <c r="B316" s="400"/>
      <c r="C316" s="420"/>
      <c r="D316" s="414"/>
      <c r="E316" s="415"/>
      <c r="F316" s="416"/>
      <c r="G316" s="421"/>
    </row>
    <row r="317" spans="1:15" ht="36" x14ac:dyDescent="0.25">
      <c r="A317" s="249" t="s">
        <v>1345</v>
      </c>
      <c r="B317" s="229"/>
      <c r="C317" s="233" t="s">
        <v>987</v>
      </c>
      <c r="D317" s="210" t="s">
        <v>8</v>
      </c>
      <c r="E317" s="186">
        <v>2</v>
      </c>
      <c r="F317" s="242"/>
      <c r="G317" s="255"/>
    </row>
    <row r="318" spans="1:15" x14ac:dyDescent="0.25">
      <c r="A318" s="419"/>
      <c r="B318" s="400"/>
      <c r="C318" s="420"/>
      <c r="D318" s="414"/>
      <c r="E318" s="415"/>
      <c r="F318" s="416"/>
      <c r="G318" s="421"/>
    </row>
    <row r="319" spans="1:15" ht="36" x14ac:dyDescent="0.25">
      <c r="A319" s="249" t="s">
        <v>1346</v>
      </c>
      <c r="B319" s="210"/>
      <c r="C319" s="233" t="s">
        <v>988</v>
      </c>
      <c r="D319" s="210" t="s">
        <v>8</v>
      </c>
      <c r="E319" s="186">
        <v>1</v>
      </c>
      <c r="F319" s="242"/>
      <c r="G319" s="255"/>
    </row>
    <row r="320" spans="1:15" x14ac:dyDescent="0.25">
      <c r="A320" s="419"/>
      <c r="B320" s="400"/>
      <c r="C320" s="420"/>
      <c r="D320" s="414"/>
      <c r="E320" s="415"/>
      <c r="F320" s="416"/>
      <c r="G320" s="421"/>
    </row>
    <row r="321" spans="1:7" ht="24" x14ac:dyDescent="0.25">
      <c r="A321" s="256"/>
      <c r="B321" s="210"/>
      <c r="C321" s="272" t="s">
        <v>991</v>
      </c>
      <c r="D321" s="210"/>
      <c r="E321" s="186"/>
      <c r="F321" s="242"/>
      <c r="G321" s="255"/>
    </row>
    <row r="322" spans="1:7" x14ac:dyDescent="0.25">
      <c r="A322" s="419"/>
      <c r="B322" s="400"/>
      <c r="C322" s="420"/>
      <c r="D322" s="414"/>
      <c r="E322" s="415"/>
      <c r="F322" s="416"/>
      <c r="G322" s="421"/>
    </row>
    <row r="323" spans="1:7" ht="24" x14ac:dyDescent="0.25">
      <c r="A323" s="249" t="s">
        <v>1347</v>
      </c>
      <c r="B323" s="210"/>
      <c r="C323" s="233" t="s">
        <v>989</v>
      </c>
      <c r="D323" s="210" t="s">
        <v>8</v>
      </c>
      <c r="E323" s="186">
        <v>4</v>
      </c>
      <c r="F323" s="242"/>
      <c r="G323" s="255"/>
    </row>
    <row r="324" spans="1:7" x14ac:dyDescent="0.25">
      <c r="A324" s="419"/>
      <c r="B324" s="400"/>
      <c r="C324" s="420"/>
      <c r="D324" s="414"/>
      <c r="E324" s="415"/>
      <c r="F324" s="416"/>
      <c r="G324" s="421"/>
    </row>
    <row r="325" spans="1:7" ht="24" x14ac:dyDescent="0.25">
      <c r="A325" s="249" t="s">
        <v>1348</v>
      </c>
      <c r="B325" s="210"/>
      <c r="C325" s="233" t="s">
        <v>990</v>
      </c>
      <c r="D325" s="210" t="s">
        <v>8</v>
      </c>
      <c r="E325" s="186">
        <v>1</v>
      </c>
      <c r="F325" s="242"/>
      <c r="G325" s="255"/>
    </row>
    <row r="326" spans="1:7" x14ac:dyDescent="0.25">
      <c r="A326" s="419"/>
      <c r="B326" s="400"/>
      <c r="C326" s="420"/>
      <c r="D326" s="414"/>
      <c r="E326" s="415"/>
      <c r="F326" s="416"/>
      <c r="G326" s="421"/>
    </row>
    <row r="327" spans="1:7" ht="24" x14ac:dyDescent="0.25">
      <c r="A327" s="249" t="s">
        <v>1349</v>
      </c>
      <c r="B327" s="210"/>
      <c r="C327" s="233" t="s">
        <v>992</v>
      </c>
      <c r="D327" s="210" t="s">
        <v>8</v>
      </c>
      <c r="E327" s="186">
        <v>2</v>
      </c>
      <c r="F327" s="242"/>
      <c r="G327" s="255"/>
    </row>
    <row r="328" spans="1:7" x14ac:dyDescent="0.25">
      <c r="A328" s="419"/>
      <c r="B328" s="400"/>
      <c r="C328" s="420"/>
      <c r="D328" s="414"/>
      <c r="E328" s="415"/>
      <c r="F328" s="416"/>
      <c r="G328" s="421"/>
    </row>
    <row r="329" spans="1:7" ht="27" customHeight="1" x14ac:dyDescent="0.25">
      <c r="A329" s="249" t="s">
        <v>1350</v>
      </c>
      <c r="B329" s="210"/>
      <c r="C329" s="233" t="s">
        <v>993</v>
      </c>
      <c r="D329" s="210" t="s">
        <v>8</v>
      </c>
      <c r="E329" s="186">
        <v>2</v>
      </c>
      <c r="F329" s="242"/>
      <c r="G329" s="255"/>
    </row>
    <row r="330" spans="1:7" x14ac:dyDescent="0.25">
      <c r="A330" s="419"/>
      <c r="B330" s="400"/>
      <c r="C330" s="420"/>
      <c r="D330" s="414"/>
      <c r="E330" s="415"/>
      <c r="F330" s="416"/>
      <c r="G330" s="421"/>
    </row>
    <row r="331" spans="1:7" ht="36" x14ac:dyDescent="0.25">
      <c r="A331" s="249" t="s">
        <v>1351</v>
      </c>
      <c r="B331" s="210"/>
      <c r="C331" s="233" t="s">
        <v>994</v>
      </c>
      <c r="D331" s="210" t="s">
        <v>8</v>
      </c>
      <c r="E331" s="186">
        <v>1</v>
      </c>
      <c r="F331" s="242"/>
      <c r="G331" s="255"/>
    </row>
    <row r="332" spans="1:7" x14ac:dyDescent="0.25">
      <c r="A332" s="419"/>
      <c r="B332" s="400"/>
      <c r="C332" s="420"/>
      <c r="D332" s="414"/>
      <c r="E332" s="415"/>
      <c r="F332" s="416"/>
      <c r="G332" s="421"/>
    </row>
    <row r="333" spans="1:7" ht="28.5" customHeight="1" x14ac:dyDescent="0.25">
      <c r="A333" s="527" t="s">
        <v>609</v>
      </c>
      <c r="B333" s="527"/>
      <c r="C333" s="527"/>
      <c r="D333" s="527"/>
      <c r="E333" s="527"/>
      <c r="F333" s="527"/>
      <c r="G333" s="328"/>
    </row>
    <row r="334" spans="1:7" ht="28.5" customHeight="1" x14ac:dyDescent="0.25">
      <c r="A334" s="527" t="s">
        <v>610</v>
      </c>
      <c r="B334" s="527"/>
      <c r="C334" s="527"/>
      <c r="D334" s="527"/>
      <c r="E334" s="527"/>
      <c r="F334" s="527"/>
      <c r="G334" s="328"/>
    </row>
    <row r="335" spans="1:7" x14ac:dyDescent="0.25">
      <c r="A335" s="419"/>
      <c r="B335" s="400"/>
      <c r="C335" s="420"/>
      <c r="D335" s="414"/>
      <c r="E335" s="415"/>
      <c r="F335" s="416"/>
      <c r="G335" s="421"/>
    </row>
    <row r="336" spans="1:7" ht="24" x14ac:dyDescent="0.25">
      <c r="A336" s="249" t="s">
        <v>1352</v>
      </c>
      <c r="B336" s="210"/>
      <c r="C336" s="233" t="s">
        <v>995</v>
      </c>
      <c r="D336" s="210" t="s">
        <v>8</v>
      </c>
      <c r="E336" s="186"/>
      <c r="F336" s="242"/>
      <c r="G336" s="255"/>
    </row>
    <row r="337" spans="1:7" x14ac:dyDescent="0.25">
      <c r="A337" s="419"/>
      <c r="B337" s="400"/>
      <c r="C337" s="420"/>
      <c r="D337" s="414"/>
      <c r="E337" s="415"/>
      <c r="F337" s="416"/>
      <c r="G337" s="421"/>
    </row>
    <row r="338" spans="1:7" ht="24" x14ac:dyDescent="0.25">
      <c r="A338" s="293" t="s">
        <v>1353</v>
      </c>
      <c r="B338" s="207" t="s">
        <v>430</v>
      </c>
      <c r="C338" s="38" t="s">
        <v>245</v>
      </c>
      <c r="D338" s="210"/>
      <c r="E338" s="219"/>
      <c r="F338" s="274"/>
      <c r="G338" s="281"/>
    </row>
    <row r="339" spans="1:7" x14ac:dyDescent="0.25">
      <c r="A339" s="419"/>
      <c r="B339" s="400"/>
      <c r="C339" s="420"/>
      <c r="D339" s="414"/>
      <c r="E339" s="415"/>
      <c r="F339" s="416"/>
      <c r="G339" s="421"/>
    </row>
    <row r="340" spans="1:7" ht="60" x14ac:dyDescent="0.25">
      <c r="A340" s="249" t="s">
        <v>1354</v>
      </c>
      <c r="B340" s="210" t="s">
        <v>12</v>
      </c>
      <c r="C340" s="119" t="s">
        <v>998</v>
      </c>
      <c r="D340" s="210" t="s">
        <v>28</v>
      </c>
      <c r="E340" s="219"/>
      <c r="F340" s="274"/>
      <c r="G340" s="255"/>
    </row>
    <row r="341" spans="1:7" x14ac:dyDescent="0.25">
      <c r="A341" s="419"/>
      <c r="B341" s="400"/>
      <c r="C341" s="420"/>
      <c r="D341" s="414"/>
      <c r="E341" s="415"/>
      <c r="F341" s="416"/>
      <c r="G341" s="421"/>
    </row>
    <row r="342" spans="1:7" x14ac:dyDescent="0.25">
      <c r="A342" s="256"/>
      <c r="B342" s="210"/>
      <c r="C342" s="119"/>
      <c r="D342" s="210"/>
      <c r="E342" s="219"/>
      <c r="F342" s="274"/>
      <c r="G342" s="255"/>
    </row>
    <row r="343" spans="1:7" x14ac:dyDescent="0.25">
      <c r="A343" s="419"/>
      <c r="B343" s="400"/>
      <c r="C343" s="420"/>
      <c r="D343" s="414"/>
      <c r="E343" s="415"/>
      <c r="F343" s="416"/>
      <c r="G343" s="421"/>
    </row>
    <row r="344" spans="1:7" x14ac:dyDescent="0.25">
      <c r="A344" s="256"/>
      <c r="B344" s="210"/>
      <c r="C344" s="119"/>
      <c r="D344" s="210"/>
      <c r="E344" s="219"/>
      <c r="F344" s="274"/>
      <c r="G344" s="255"/>
    </row>
    <row r="345" spans="1:7" x14ac:dyDescent="0.25">
      <c r="A345" s="419"/>
      <c r="B345" s="400"/>
      <c r="C345" s="420"/>
      <c r="D345" s="414"/>
      <c r="E345" s="415"/>
      <c r="F345" s="416"/>
      <c r="G345" s="421"/>
    </row>
    <row r="346" spans="1:7" x14ac:dyDescent="0.25">
      <c r="A346" s="256"/>
      <c r="B346" s="210"/>
      <c r="C346" s="119"/>
      <c r="D346" s="210"/>
      <c r="E346" s="219"/>
      <c r="F346" s="274"/>
      <c r="G346" s="255"/>
    </row>
    <row r="347" spans="1:7" x14ac:dyDescent="0.25">
      <c r="A347" s="419"/>
      <c r="B347" s="400"/>
      <c r="C347" s="420"/>
      <c r="D347" s="414"/>
      <c r="E347" s="415"/>
      <c r="F347" s="416"/>
      <c r="G347" s="421"/>
    </row>
    <row r="348" spans="1:7" x14ac:dyDescent="0.25">
      <c r="A348" s="256"/>
      <c r="B348" s="210"/>
      <c r="C348" s="119"/>
      <c r="D348" s="210"/>
      <c r="E348" s="219"/>
      <c r="F348" s="274"/>
      <c r="G348" s="255"/>
    </row>
    <row r="349" spans="1:7" x14ac:dyDescent="0.25">
      <c r="A349" s="419"/>
      <c r="B349" s="400"/>
      <c r="C349" s="420"/>
      <c r="D349" s="414"/>
      <c r="E349" s="415"/>
      <c r="F349" s="416"/>
      <c r="G349" s="421"/>
    </row>
    <row r="350" spans="1:7" x14ac:dyDescent="0.25">
      <c r="A350" s="256"/>
      <c r="B350" s="210"/>
      <c r="C350" s="119"/>
      <c r="D350" s="210"/>
      <c r="E350" s="219"/>
      <c r="F350" s="274"/>
      <c r="G350" s="255"/>
    </row>
    <row r="351" spans="1:7" x14ac:dyDescent="0.25">
      <c r="A351" s="419"/>
      <c r="B351" s="400"/>
      <c r="C351" s="420"/>
      <c r="D351" s="414"/>
      <c r="E351" s="415"/>
      <c r="F351" s="416"/>
      <c r="G351" s="421"/>
    </row>
    <row r="352" spans="1:7" x14ac:dyDescent="0.25">
      <c r="A352" s="256"/>
      <c r="B352" s="210"/>
      <c r="C352" s="119"/>
      <c r="D352" s="210"/>
      <c r="E352" s="219"/>
      <c r="F352" s="274"/>
      <c r="G352" s="255"/>
    </row>
    <row r="353" spans="1:7" x14ac:dyDescent="0.25">
      <c r="A353" s="419"/>
      <c r="B353" s="400"/>
      <c r="C353" s="420"/>
      <c r="D353" s="414"/>
      <c r="E353" s="415"/>
      <c r="F353" s="416"/>
      <c r="G353" s="421"/>
    </row>
    <row r="354" spans="1:7" x14ac:dyDescent="0.25">
      <c r="A354" s="256"/>
      <c r="B354" s="210"/>
      <c r="C354" s="119"/>
      <c r="D354" s="210"/>
      <c r="E354" s="219"/>
      <c r="F354" s="274"/>
      <c r="G354" s="255"/>
    </row>
    <row r="355" spans="1:7" x14ac:dyDescent="0.25">
      <c r="A355" s="419"/>
      <c r="B355" s="400"/>
      <c r="C355" s="420"/>
      <c r="D355" s="414"/>
      <c r="E355" s="415"/>
      <c r="F355" s="416"/>
      <c r="G355" s="421"/>
    </row>
    <row r="356" spans="1:7" x14ac:dyDescent="0.25">
      <c r="A356" s="256"/>
      <c r="B356" s="210"/>
      <c r="C356" s="119"/>
      <c r="D356" s="210"/>
      <c r="E356" s="219"/>
      <c r="F356" s="274"/>
      <c r="G356" s="255"/>
    </row>
    <row r="357" spans="1:7" x14ac:dyDescent="0.25">
      <c r="A357" s="419"/>
      <c r="B357" s="400"/>
      <c r="C357" s="420"/>
      <c r="D357" s="414"/>
      <c r="E357" s="415"/>
      <c r="F357" s="416"/>
      <c r="G357" s="421"/>
    </row>
    <row r="358" spans="1:7" x14ac:dyDescent="0.25">
      <c r="A358" s="256"/>
      <c r="B358" s="210"/>
      <c r="C358" s="119"/>
      <c r="D358" s="210"/>
      <c r="E358" s="219"/>
      <c r="F358" s="274"/>
      <c r="G358" s="255"/>
    </row>
    <row r="359" spans="1:7" x14ac:dyDescent="0.25">
      <c r="A359" s="419"/>
      <c r="B359" s="400"/>
      <c r="C359" s="420"/>
      <c r="D359" s="414"/>
      <c r="E359" s="415"/>
      <c r="F359" s="416"/>
      <c r="G359" s="421"/>
    </row>
    <row r="360" spans="1:7" x14ac:dyDescent="0.25">
      <c r="A360" s="256"/>
      <c r="B360" s="210"/>
      <c r="C360" s="119"/>
      <c r="D360" s="210"/>
      <c r="E360" s="219"/>
      <c r="F360" s="274"/>
      <c r="G360" s="255"/>
    </row>
    <row r="361" spans="1:7" x14ac:dyDescent="0.25">
      <c r="A361" s="419"/>
      <c r="B361" s="400"/>
      <c r="C361" s="420"/>
      <c r="D361" s="414"/>
      <c r="E361" s="415"/>
      <c r="F361" s="416"/>
      <c r="G361" s="421"/>
    </row>
    <row r="362" spans="1:7" x14ac:dyDescent="0.25">
      <c r="A362" s="256"/>
      <c r="B362" s="210"/>
      <c r="C362" s="119"/>
      <c r="D362" s="210"/>
      <c r="E362" s="219"/>
      <c r="F362" s="274"/>
      <c r="G362" s="255"/>
    </row>
    <row r="363" spans="1:7" x14ac:dyDescent="0.25">
      <c r="A363" s="419"/>
      <c r="B363" s="400"/>
      <c r="C363" s="420"/>
      <c r="D363" s="414"/>
      <c r="E363" s="415"/>
      <c r="F363" s="416"/>
      <c r="G363" s="421"/>
    </row>
    <row r="364" spans="1:7" x14ac:dyDescent="0.25">
      <c r="A364" s="256"/>
      <c r="B364" s="210"/>
      <c r="C364" s="119"/>
      <c r="D364" s="210"/>
      <c r="E364" s="219"/>
      <c r="F364" s="274"/>
      <c r="G364" s="255"/>
    </row>
    <row r="365" spans="1:7" x14ac:dyDescent="0.25">
      <c r="A365" s="419"/>
      <c r="B365" s="400"/>
      <c r="C365" s="420"/>
      <c r="D365" s="414"/>
      <c r="E365" s="415"/>
      <c r="F365" s="416"/>
      <c r="G365" s="421"/>
    </row>
    <row r="366" spans="1:7" x14ac:dyDescent="0.25">
      <c r="A366" s="256"/>
      <c r="B366" s="210"/>
      <c r="C366" s="119"/>
      <c r="D366" s="210"/>
      <c r="E366" s="219"/>
      <c r="F366" s="274"/>
      <c r="G366" s="255"/>
    </row>
    <row r="367" spans="1:7" x14ac:dyDescent="0.25">
      <c r="A367" s="419"/>
      <c r="B367" s="400"/>
      <c r="C367" s="420"/>
      <c r="D367" s="414"/>
      <c r="E367" s="415"/>
      <c r="F367" s="416"/>
      <c r="G367" s="421"/>
    </row>
    <row r="368" spans="1:7" x14ac:dyDescent="0.25">
      <c r="A368" s="256"/>
      <c r="B368" s="210"/>
      <c r="C368" s="119"/>
      <c r="D368" s="210"/>
      <c r="E368" s="219"/>
      <c r="F368" s="274"/>
      <c r="G368" s="255"/>
    </row>
    <row r="369" spans="1:7" x14ac:dyDescent="0.25">
      <c r="A369" s="419"/>
      <c r="B369" s="400"/>
      <c r="C369" s="420"/>
      <c r="D369" s="414"/>
      <c r="E369" s="415"/>
      <c r="F369" s="416"/>
      <c r="G369" s="421"/>
    </row>
    <row r="370" spans="1:7" x14ac:dyDescent="0.25">
      <c r="A370" s="256"/>
      <c r="B370" s="210"/>
      <c r="C370" s="119"/>
      <c r="D370" s="210"/>
      <c r="E370" s="219"/>
      <c r="F370" s="274"/>
      <c r="G370" s="255"/>
    </row>
    <row r="371" spans="1:7" x14ac:dyDescent="0.25">
      <c r="A371" s="419"/>
      <c r="B371" s="400"/>
      <c r="C371" s="420"/>
      <c r="D371" s="414"/>
      <c r="E371" s="415"/>
      <c r="F371" s="416"/>
      <c r="G371" s="421"/>
    </row>
    <row r="372" spans="1:7" x14ac:dyDescent="0.25">
      <c r="A372" s="256"/>
      <c r="B372" s="210"/>
      <c r="C372" s="119"/>
      <c r="D372" s="210"/>
      <c r="E372" s="219"/>
      <c r="F372" s="274"/>
      <c r="G372" s="255"/>
    </row>
    <row r="373" spans="1:7" x14ac:dyDescent="0.25">
      <c r="A373" s="419"/>
      <c r="B373" s="400"/>
      <c r="C373" s="420"/>
      <c r="D373" s="414"/>
      <c r="E373" s="415"/>
      <c r="F373" s="416"/>
      <c r="G373" s="421"/>
    </row>
    <row r="374" spans="1:7" x14ac:dyDescent="0.25">
      <c r="A374" s="256"/>
      <c r="B374" s="210"/>
      <c r="C374" s="119"/>
      <c r="D374" s="210"/>
      <c r="E374" s="219"/>
      <c r="F374" s="274"/>
      <c r="G374" s="255"/>
    </row>
    <row r="375" spans="1:7" x14ac:dyDescent="0.25">
      <c r="A375" s="419"/>
      <c r="B375" s="400"/>
      <c r="C375" s="420"/>
      <c r="D375" s="414"/>
      <c r="E375" s="415"/>
      <c r="F375" s="416"/>
      <c r="G375" s="421"/>
    </row>
    <row r="376" spans="1:7" x14ac:dyDescent="0.25">
      <c r="A376" s="256"/>
      <c r="B376" s="210"/>
      <c r="C376" s="119"/>
      <c r="D376" s="210"/>
      <c r="E376" s="219"/>
      <c r="F376" s="274"/>
      <c r="G376" s="255"/>
    </row>
    <row r="377" spans="1:7" x14ac:dyDescent="0.25">
      <c r="A377" s="419"/>
      <c r="B377" s="400"/>
      <c r="C377" s="420"/>
      <c r="D377" s="414"/>
      <c r="E377" s="415"/>
      <c r="F377" s="416"/>
      <c r="G377" s="421"/>
    </row>
    <row r="378" spans="1:7" x14ac:dyDescent="0.25">
      <c r="A378" s="256"/>
      <c r="B378" s="210"/>
      <c r="C378" s="119"/>
      <c r="D378" s="210"/>
      <c r="E378" s="219"/>
      <c r="F378" s="274"/>
      <c r="G378" s="255"/>
    </row>
    <row r="379" spans="1:7" x14ac:dyDescent="0.25">
      <c r="A379" s="419"/>
      <c r="B379" s="400"/>
      <c r="C379" s="420"/>
      <c r="D379" s="414"/>
      <c r="E379" s="415"/>
      <c r="F379" s="416"/>
      <c r="G379" s="421"/>
    </row>
    <row r="380" spans="1:7" x14ac:dyDescent="0.25">
      <c r="A380" s="256"/>
      <c r="B380" s="210"/>
      <c r="C380" s="119"/>
      <c r="D380" s="210"/>
      <c r="E380" s="219"/>
      <c r="F380" s="274"/>
      <c r="G380" s="255"/>
    </row>
    <row r="381" spans="1:7" x14ac:dyDescent="0.25">
      <c r="A381" s="419"/>
      <c r="B381" s="400"/>
      <c r="C381" s="420"/>
      <c r="D381" s="414"/>
      <c r="E381" s="415"/>
      <c r="F381" s="416"/>
      <c r="G381" s="421"/>
    </row>
    <row r="382" spans="1:7" ht="28.5" customHeight="1" x14ac:dyDescent="0.25">
      <c r="A382" s="527" t="s">
        <v>1362</v>
      </c>
      <c r="B382" s="527"/>
      <c r="C382" s="527"/>
      <c r="D382" s="527"/>
      <c r="E382" s="527"/>
      <c r="F382" s="527"/>
      <c r="G382" s="328"/>
    </row>
    <row r="383" spans="1:7" s="32" customFormat="1" ht="12" customHeight="1" x14ac:dyDescent="0.25">
      <c r="A383" s="315"/>
      <c r="B383" s="315"/>
      <c r="C383" s="326"/>
      <c r="D383" s="315"/>
      <c r="E383" s="321"/>
      <c r="F383" s="322"/>
      <c r="G383" s="315"/>
    </row>
    <row r="384" spans="1:7" s="32" customFormat="1" ht="12" customHeight="1" x14ac:dyDescent="0.25">
      <c r="A384" s="315"/>
      <c r="B384" s="315"/>
      <c r="C384" s="326"/>
      <c r="D384" s="315"/>
      <c r="E384" s="321"/>
      <c r="F384" s="322"/>
      <c r="G384" s="315"/>
    </row>
    <row r="385" spans="1:7" s="32" customFormat="1" ht="12" customHeight="1" x14ac:dyDescent="0.25">
      <c r="A385" s="315"/>
      <c r="B385" s="315"/>
      <c r="C385" s="326"/>
      <c r="D385" s="315"/>
      <c r="E385" s="321"/>
      <c r="F385" s="322"/>
      <c r="G385" s="315"/>
    </row>
    <row r="386" spans="1:7" s="32" customFormat="1" ht="12" customHeight="1" x14ac:dyDescent="0.25">
      <c r="A386" s="315"/>
      <c r="B386" s="315"/>
      <c r="C386" s="326"/>
      <c r="D386" s="315"/>
      <c r="E386" s="321"/>
      <c r="F386" s="322"/>
      <c r="G386" s="315"/>
    </row>
    <row r="387" spans="1:7" s="32" customFormat="1" ht="12" customHeight="1" x14ac:dyDescent="0.25">
      <c r="A387" s="315"/>
      <c r="B387" s="315"/>
      <c r="C387" s="326"/>
      <c r="D387" s="315"/>
      <c r="E387" s="321"/>
      <c r="F387" s="322"/>
      <c r="G387" s="315"/>
    </row>
    <row r="388" spans="1:7" s="32" customFormat="1" ht="12" customHeight="1" x14ac:dyDescent="0.25">
      <c r="A388" s="315"/>
      <c r="B388" s="315"/>
      <c r="C388" s="326"/>
      <c r="D388" s="315"/>
      <c r="E388" s="321"/>
      <c r="F388" s="322"/>
      <c r="G388" s="315"/>
    </row>
    <row r="389" spans="1:7" s="32" customFormat="1" ht="12" customHeight="1" x14ac:dyDescent="0.25">
      <c r="A389" s="315"/>
      <c r="B389" s="315"/>
      <c r="C389" s="326"/>
      <c r="D389" s="315"/>
      <c r="E389" s="321"/>
      <c r="F389" s="322"/>
      <c r="G389" s="315"/>
    </row>
    <row r="390" spans="1:7" s="32" customFormat="1" ht="12" customHeight="1" x14ac:dyDescent="0.25">
      <c r="A390" s="315"/>
      <c r="B390" s="315"/>
      <c r="C390" s="326"/>
      <c r="D390" s="315"/>
      <c r="E390" s="321"/>
      <c r="F390" s="322"/>
      <c r="G390" s="315"/>
    </row>
    <row r="391" spans="1:7" s="32" customFormat="1" ht="12" customHeight="1" x14ac:dyDescent="0.25">
      <c r="A391" s="315"/>
      <c r="B391" s="315"/>
      <c r="C391" s="326"/>
      <c r="D391" s="315"/>
      <c r="E391" s="321"/>
      <c r="F391" s="322"/>
      <c r="G391" s="315"/>
    </row>
    <row r="392" spans="1:7" s="32" customFormat="1" ht="12" customHeight="1" x14ac:dyDescent="0.25">
      <c r="A392" s="315"/>
      <c r="B392" s="315"/>
      <c r="C392" s="326"/>
      <c r="D392" s="315"/>
      <c r="E392" s="321"/>
      <c r="F392" s="322"/>
      <c r="G392" s="315"/>
    </row>
    <row r="393" spans="1:7" s="32" customFormat="1" ht="12" customHeight="1" x14ac:dyDescent="0.25">
      <c r="A393" s="315"/>
      <c r="B393" s="315"/>
      <c r="C393" s="326"/>
      <c r="D393" s="315"/>
      <c r="E393" s="321"/>
      <c r="F393" s="322"/>
      <c r="G393" s="315"/>
    </row>
    <row r="394" spans="1:7" s="32" customFormat="1" ht="12" customHeight="1" x14ac:dyDescent="0.25">
      <c r="A394" s="315"/>
      <c r="B394" s="315"/>
      <c r="C394" s="326"/>
      <c r="D394" s="315"/>
      <c r="E394" s="321"/>
      <c r="F394" s="322"/>
      <c r="G394" s="315"/>
    </row>
    <row r="395" spans="1:7" s="32" customFormat="1" ht="12" customHeight="1" x14ac:dyDescent="0.25">
      <c r="A395" s="315"/>
      <c r="B395" s="315"/>
      <c r="C395" s="326"/>
      <c r="D395" s="315"/>
      <c r="E395" s="321"/>
      <c r="F395" s="322"/>
      <c r="G395" s="315"/>
    </row>
    <row r="396" spans="1:7" s="32" customFormat="1" ht="12" customHeight="1" x14ac:dyDescent="0.25">
      <c r="A396" s="315"/>
      <c r="B396" s="315"/>
      <c r="C396" s="326"/>
      <c r="D396" s="315"/>
      <c r="E396" s="321"/>
      <c r="F396" s="322"/>
      <c r="G396" s="315"/>
    </row>
    <row r="397" spans="1:7" s="32" customFormat="1" ht="12" customHeight="1" x14ac:dyDescent="0.25">
      <c r="A397" s="315"/>
      <c r="B397" s="315"/>
      <c r="C397" s="326"/>
      <c r="D397" s="315"/>
      <c r="E397" s="321"/>
      <c r="F397" s="322"/>
      <c r="G397" s="315"/>
    </row>
    <row r="398" spans="1:7" s="32" customFormat="1" ht="12" customHeight="1" x14ac:dyDescent="0.25">
      <c r="A398" s="315"/>
      <c r="B398" s="315"/>
      <c r="C398" s="326"/>
      <c r="D398" s="315"/>
      <c r="E398" s="321"/>
      <c r="F398" s="322"/>
      <c r="G398" s="315"/>
    </row>
    <row r="399" spans="1:7" s="32" customFormat="1" ht="12" customHeight="1" x14ac:dyDescent="0.25">
      <c r="A399" s="315"/>
      <c r="B399" s="315"/>
      <c r="C399" s="326"/>
      <c r="D399" s="315"/>
      <c r="E399" s="321"/>
      <c r="F399" s="322"/>
      <c r="G399" s="315"/>
    </row>
    <row r="400" spans="1:7" s="32" customFormat="1" ht="12" customHeight="1" x14ac:dyDescent="0.25">
      <c r="A400" s="315"/>
      <c r="B400" s="315"/>
      <c r="C400" s="326"/>
      <c r="D400" s="315"/>
      <c r="E400" s="321"/>
      <c r="F400" s="322"/>
      <c r="G400" s="315"/>
    </row>
    <row r="401" spans="1:7" s="32" customFormat="1" ht="12" customHeight="1" x14ac:dyDescent="0.25">
      <c r="A401" s="315"/>
      <c r="B401" s="315"/>
      <c r="C401" s="326"/>
      <c r="D401" s="315"/>
      <c r="E401" s="321"/>
      <c r="F401" s="322"/>
      <c r="G401" s="315"/>
    </row>
    <row r="402" spans="1:7" s="32" customFormat="1" ht="12" customHeight="1" x14ac:dyDescent="0.25">
      <c r="A402" s="315"/>
      <c r="B402" s="315"/>
      <c r="C402" s="326"/>
      <c r="D402" s="315"/>
      <c r="E402" s="321"/>
      <c r="F402" s="322"/>
      <c r="G402" s="315"/>
    </row>
    <row r="403" spans="1:7" s="32" customFormat="1" ht="12" customHeight="1" x14ac:dyDescent="0.25">
      <c r="A403" s="315"/>
      <c r="B403" s="315"/>
      <c r="C403" s="326"/>
      <c r="D403" s="315"/>
      <c r="E403" s="321"/>
      <c r="F403" s="322"/>
      <c r="G403" s="315"/>
    </row>
    <row r="404" spans="1:7" s="32" customFormat="1" ht="12" customHeight="1" x14ac:dyDescent="0.25">
      <c r="A404" s="315"/>
      <c r="B404" s="315"/>
      <c r="C404" s="326"/>
      <c r="D404" s="315"/>
      <c r="E404" s="321"/>
      <c r="F404" s="322"/>
      <c r="G404" s="315"/>
    </row>
    <row r="405" spans="1:7" s="32" customFormat="1" ht="12" customHeight="1" x14ac:dyDescent="0.25">
      <c r="A405" s="315"/>
      <c r="B405" s="315"/>
      <c r="C405" s="326"/>
      <c r="D405" s="315"/>
      <c r="E405" s="321"/>
      <c r="F405" s="322"/>
      <c r="G405" s="315"/>
    </row>
    <row r="406" spans="1:7" s="32" customFormat="1" ht="12" customHeight="1" x14ac:dyDescent="0.25">
      <c r="A406" s="315"/>
      <c r="B406" s="315"/>
      <c r="C406" s="326"/>
      <c r="D406" s="315"/>
      <c r="E406" s="321"/>
      <c r="F406" s="322"/>
      <c r="G406" s="315"/>
    </row>
    <row r="407" spans="1:7" s="32" customFormat="1" ht="12" customHeight="1" x14ac:dyDescent="0.25">
      <c r="A407" s="315"/>
      <c r="B407" s="315"/>
      <c r="C407" s="326"/>
      <c r="D407" s="315"/>
      <c r="E407" s="321"/>
      <c r="F407" s="322"/>
      <c r="G407" s="315"/>
    </row>
    <row r="408" spans="1:7" s="32" customFormat="1" ht="12" customHeight="1" x14ac:dyDescent="0.25">
      <c r="A408" s="315"/>
      <c r="B408" s="315"/>
      <c r="C408" s="326"/>
      <c r="D408" s="315"/>
      <c r="E408" s="321"/>
      <c r="F408" s="322"/>
      <c r="G408" s="315"/>
    </row>
    <row r="409" spans="1:7" s="32" customFormat="1" ht="12" customHeight="1" x14ac:dyDescent="0.25">
      <c r="A409" s="315"/>
      <c r="B409" s="315"/>
      <c r="C409" s="326"/>
      <c r="D409" s="315"/>
      <c r="E409" s="321"/>
      <c r="F409" s="322"/>
      <c r="G409" s="315"/>
    </row>
    <row r="410" spans="1:7" s="32" customFormat="1" ht="12" customHeight="1" x14ac:dyDescent="0.25">
      <c r="A410" s="315"/>
      <c r="B410" s="315"/>
      <c r="C410" s="326"/>
      <c r="D410" s="315"/>
      <c r="E410" s="321"/>
      <c r="F410" s="322"/>
      <c r="G410" s="315"/>
    </row>
    <row r="411" spans="1:7" s="32" customFormat="1" ht="12" customHeight="1" x14ac:dyDescent="0.25">
      <c r="A411" s="315"/>
      <c r="B411" s="315"/>
      <c r="C411" s="326"/>
      <c r="D411" s="315"/>
      <c r="E411" s="321"/>
      <c r="F411" s="322"/>
      <c r="G411" s="315"/>
    </row>
    <row r="412" spans="1:7" s="32" customFormat="1" ht="12" customHeight="1" x14ac:dyDescent="0.25">
      <c r="A412" s="315"/>
      <c r="B412" s="315"/>
      <c r="C412" s="326"/>
      <c r="D412" s="315"/>
      <c r="E412" s="321"/>
      <c r="F412" s="322"/>
      <c r="G412" s="315"/>
    </row>
    <row r="413" spans="1:7" s="32" customFormat="1" ht="12" customHeight="1" x14ac:dyDescent="0.25">
      <c r="A413" s="315"/>
      <c r="B413" s="315"/>
      <c r="C413" s="326"/>
      <c r="D413" s="315"/>
      <c r="E413" s="321"/>
      <c r="F413" s="322"/>
      <c r="G413" s="315"/>
    </row>
    <row r="414" spans="1:7" s="32" customFormat="1" ht="12" customHeight="1" x14ac:dyDescent="0.25">
      <c r="A414" s="315"/>
      <c r="B414" s="315"/>
      <c r="C414" s="326"/>
      <c r="D414" s="315"/>
      <c r="E414" s="321"/>
      <c r="F414" s="322"/>
      <c r="G414" s="315"/>
    </row>
    <row r="415" spans="1:7" s="32" customFormat="1" ht="12" customHeight="1" x14ac:dyDescent="0.25">
      <c r="A415" s="315"/>
      <c r="B415" s="315"/>
      <c r="C415" s="326"/>
      <c r="D415" s="315"/>
      <c r="E415" s="321"/>
      <c r="F415" s="322"/>
      <c r="G415" s="315"/>
    </row>
    <row r="416" spans="1:7" s="32" customFormat="1" ht="12" customHeight="1" x14ac:dyDescent="0.25">
      <c r="A416" s="315"/>
      <c r="B416" s="315"/>
      <c r="C416" s="326"/>
      <c r="D416" s="315"/>
      <c r="E416" s="321"/>
      <c r="F416" s="322"/>
      <c r="G416" s="315"/>
    </row>
    <row r="417" spans="1:7" s="32" customFormat="1" ht="12" customHeight="1" x14ac:dyDescent="0.25">
      <c r="A417" s="315"/>
      <c r="B417" s="315"/>
      <c r="C417" s="326"/>
      <c r="D417" s="315"/>
      <c r="E417" s="321"/>
      <c r="F417" s="322"/>
      <c r="G417" s="315"/>
    </row>
    <row r="418" spans="1:7" s="32" customFormat="1" ht="12" customHeight="1" x14ac:dyDescent="0.25">
      <c r="A418" s="315"/>
      <c r="B418" s="315"/>
      <c r="C418" s="326"/>
      <c r="D418" s="315"/>
      <c r="E418" s="321"/>
      <c r="F418" s="322"/>
      <c r="G418" s="315"/>
    </row>
    <row r="419" spans="1:7" s="32" customFormat="1" ht="12" customHeight="1" x14ac:dyDescent="0.25">
      <c r="A419" s="315"/>
      <c r="B419" s="315"/>
      <c r="C419" s="326"/>
      <c r="D419" s="315"/>
      <c r="E419" s="321"/>
      <c r="F419" s="322"/>
      <c r="G419" s="315"/>
    </row>
    <row r="420" spans="1:7" s="32" customFormat="1" ht="12" customHeight="1" x14ac:dyDescent="0.25">
      <c r="A420" s="315"/>
      <c r="B420" s="315"/>
      <c r="C420" s="326"/>
      <c r="D420" s="315"/>
      <c r="E420" s="321"/>
      <c r="F420" s="322"/>
      <c r="G420" s="315"/>
    </row>
    <row r="421" spans="1:7" s="32" customFormat="1" ht="12" customHeight="1" x14ac:dyDescent="0.25">
      <c r="A421" s="315"/>
      <c r="B421" s="315"/>
      <c r="C421" s="326"/>
      <c r="D421" s="315"/>
      <c r="E421" s="321"/>
      <c r="F421" s="322"/>
      <c r="G421" s="315"/>
    </row>
    <row r="422" spans="1:7" s="32" customFormat="1" ht="12" customHeight="1" x14ac:dyDescent="0.25">
      <c r="A422" s="315"/>
      <c r="B422" s="315"/>
      <c r="C422" s="326"/>
      <c r="D422" s="315"/>
      <c r="E422" s="321"/>
      <c r="F422" s="322"/>
      <c r="G422" s="315"/>
    </row>
    <row r="423" spans="1:7" s="32" customFormat="1" ht="12" customHeight="1" x14ac:dyDescent="0.25">
      <c r="A423" s="315"/>
      <c r="B423" s="315"/>
      <c r="C423" s="326"/>
      <c r="D423" s="315"/>
      <c r="E423" s="321"/>
      <c r="F423" s="322"/>
      <c r="G423" s="315"/>
    </row>
    <row r="424" spans="1:7" s="32" customFormat="1" ht="12" customHeight="1" x14ac:dyDescent="0.25">
      <c r="A424" s="315"/>
      <c r="B424" s="315"/>
      <c r="C424" s="326"/>
      <c r="D424" s="315"/>
      <c r="E424" s="321"/>
      <c r="F424" s="322"/>
      <c r="G424" s="315"/>
    </row>
    <row r="425" spans="1:7" s="32" customFormat="1" ht="12" customHeight="1" x14ac:dyDescent="0.25">
      <c r="A425" s="315"/>
      <c r="B425" s="315"/>
      <c r="C425" s="326"/>
      <c r="D425" s="315"/>
      <c r="E425" s="321"/>
      <c r="F425" s="322"/>
      <c r="G425" s="315"/>
    </row>
    <row r="426" spans="1:7" s="32" customFormat="1" ht="12" customHeight="1" x14ac:dyDescent="0.25">
      <c r="A426" s="315"/>
      <c r="B426" s="315"/>
      <c r="C426" s="326"/>
      <c r="D426" s="315"/>
      <c r="E426" s="321"/>
      <c r="F426" s="322"/>
      <c r="G426" s="315"/>
    </row>
    <row r="427" spans="1:7" s="32" customFormat="1" ht="12" customHeight="1" x14ac:dyDescent="0.25">
      <c r="A427" s="315"/>
      <c r="B427" s="315"/>
      <c r="C427" s="326"/>
      <c r="D427" s="315"/>
      <c r="E427" s="321"/>
      <c r="F427" s="322"/>
      <c r="G427" s="315"/>
    </row>
    <row r="428" spans="1:7" s="32" customFormat="1" ht="12" customHeight="1" x14ac:dyDescent="0.25">
      <c r="A428" s="315"/>
      <c r="B428" s="315"/>
      <c r="C428" s="326"/>
      <c r="D428" s="315"/>
      <c r="E428" s="321"/>
      <c r="F428" s="322"/>
      <c r="G428" s="315"/>
    </row>
    <row r="429" spans="1:7" s="32" customFormat="1" ht="12" customHeight="1" x14ac:dyDescent="0.25">
      <c r="A429" s="315"/>
      <c r="B429" s="315"/>
      <c r="C429" s="326"/>
      <c r="D429" s="315"/>
      <c r="E429" s="321"/>
      <c r="F429" s="322"/>
      <c r="G429" s="315"/>
    </row>
    <row r="430" spans="1:7" s="32" customFormat="1" x14ac:dyDescent="0.25">
      <c r="A430" s="315"/>
      <c r="B430" s="315"/>
      <c r="C430" s="326"/>
      <c r="D430" s="315"/>
      <c r="E430" s="321"/>
      <c r="F430" s="322"/>
      <c r="G430" s="315"/>
    </row>
    <row r="431" spans="1:7" s="32" customFormat="1" x14ac:dyDescent="0.25">
      <c r="A431" s="315"/>
      <c r="B431" s="315"/>
      <c r="C431" s="326"/>
      <c r="D431" s="315"/>
      <c r="E431" s="321"/>
      <c r="F431" s="322"/>
      <c r="G431" s="315"/>
    </row>
    <row r="432" spans="1:7" s="32" customFormat="1" x14ac:dyDescent="0.25">
      <c r="A432" s="315"/>
      <c r="B432" s="315"/>
      <c r="C432" s="326"/>
      <c r="D432" s="315"/>
      <c r="E432" s="321"/>
      <c r="F432" s="322"/>
      <c r="G432" s="315"/>
    </row>
    <row r="433" spans="1:7" s="32" customFormat="1" x14ac:dyDescent="0.25">
      <c r="A433" s="315"/>
      <c r="B433" s="315"/>
      <c r="C433" s="326"/>
      <c r="D433" s="315"/>
      <c r="E433" s="321"/>
      <c r="F433" s="322"/>
      <c r="G433" s="315"/>
    </row>
    <row r="434" spans="1:7" s="32" customFormat="1" x14ac:dyDescent="0.25">
      <c r="A434" s="315"/>
      <c r="B434" s="315"/>
      <c r="C434" s="326"/>
      <c r="D434" s="315"/>
      <c r="E434" s="321"/>
      <c r="F434" s="322"/>
      <c r="G434" s="315"/>
    </row>
    <row r="435" spans="1:7" s="32" customFormat="1" x14ac:dyDescent="0.25">
      <c r="A435" s="315"/>
      <c r="B435" s="315"/>
      <c r="C435" s="326"/>
      <c r="D435" s="315"/>
      <c r="E435" s="321"/>
      <c r="F435" s="322"/>
      <c r="G435" s="315"/>
    </row>
    <row r="436" spans="1:7" s="32" customFormat="1" x14ac:dyDescent="0.25">
      <c r="A436" s="315"/>
      <c r="B436" s="315"/>
      <c r="C436" s="326"/>
      <c r="D436" s="315"/>
      <c r="E436" s="321"/>
      <c r="F436" s="322"/>
      <c r="G436" s="315"/>
    </row>
    <row r="437" spans="1:7" s="32" customFormat="1" x14ac:dyDescent="0.25">
      <c r="A437" s="315"/>
      <c r="B437" s="315"/>
      <c r="C437" s="326"/>
      <c r="D437" s="315"/>
      <c r="E437" s="321"/>
      <c r="F437" s="322"/>
      <c r="G437" s="315"/>
    </row>
    <row r="438" spans="1:7" s="32" customFormat="1" x14ac:dyDescent="0.25">
      <c r="A438" s="315"/>
      <c r="B438" s="315"/>
      <c r="C438" s="326"/>
      <c r="D438" s="315"/>
      <c r="E438" s="321"/>
      <c r="F438" s="322"/>
      <c r="G438" s="315"/>
    </row>
    <row r="439" spans="1:7" s="32" customFormat="1" x14ac:dyDescent="0.25">
      <c r="A439" s="315"/>
      <c r="B439" s="315"/>
      <c r="C439" s="326"/>
      <c r="D439" s="315"/>
      <c r="E439" s="321"/>
      <c r="F439" s="322"/>
      <c r="G439" s="315"/>
    </row>
    <row r="440" spans="1:7" s="32" customFormat="1" x14ac:dyDescent="0.25">
      <c r="A440" s="315"/>
      <c r="B440" s="315"/>
      <c r="C440" s="326"/>
      <c r="D440" s="315"/>
      <c r="E440" s="321"/>
      <c r="F440" s="322"/>
      <c r="G440" s="315"/>
    </row>
    <row r="441" spans="1:7" s="32" customFormat="1" x14ac:dyDescent="0.25">
      <c r="A441" s="315"/>
      <c r="B441" s="315"/>
      <c r="C441" s="326"/>
      <c r="D441" s="315"/>
      <c r="E441" s="321"/>
      <c r="F441" s="322"/>
      <c r="G441" s="315"/>
    </row>
    <row r="442" spans="1:7" s="32" customFormat="1" x14ac:dyDescent="0.25">
      <c r="A442" s="315"/>
      <c r="B442" s="315"/>
      <c r="C442" s="326"/>
      <c r="D442" s="315"/>
      <c r="E442" s="321"/>
      <c r="F442" s="322"/>
      <c r="G442" s="315"/>
    </row>
    <row r="443" spans="1:7" s="32" customFormat="1" x14ac:dyDescent="0.25">
      <c r="A443" s="315"/>
      <c r="B443" s="315"/>
      <c r="C443" s="326"/>
      <c r="D443" s="315"/>
      <c r="E443" s="321"/>
      <c r="F443" s="322"/>
      <c r="G443" s="315"/>
    </row>
    <row r="444" spans="1:7" s="32" customFormat="1" x14ac:dyDescent="0.25">
      <c r="A444" s="315"/>
      <c r="B444" s="315"/>
      <c r="C444" s="326"/>
      <c r="D444" s="315"/>
      <c r="E444" s="321"/>
      <c r="F444" s="322"/>
      <c r="G444" s="315"/>
    </row>
    <row r="445" spans="1:7" s="32" customFormat="1" x14ac:dyDescent="0.25">
      <c r="A445" s="315"/>
      <c r="B445" s="315"/>
      <c r="C445" s="326"/>
      <c r="D445" s="315"/>
      <c r="E445" s="321"/>
      <c r="F445" s="322"/>
      <c r="G445" s="315"/>
    </row>
    <row r="446" spans="1:7" s="32" customFormat="1" x14ac:dyDescent="0.25">
      <c r="A446" s="315"/>
      <c r="B446" s="315"/>
      <c r="C446" s="326"/>
      <c r="D446" s="315"/>
      <c r="E446" s="321"/>
      <c r="F446" s="322"/>
      <c r="G446" s="315"/>
    </row>
    <row r="447" spans="1:7" s="32" customFormat="1" x14ac:dyDescent="0.25">
      <c r="A447" s="315"/>
      <c r="B447" s="315"/>
      <c r="C447" s="326"/>
      <c r="D447" s="315"/>
      <c r="E447" s="321"/>
      <c r="F447" s="322"/>
      <c r="G447" s="315"/>
    </row>
    <row r="448" spans="1:7" s="32" customFormat="1" x14ac:dyDescent="0.25">
      <c r="A448" s="315"/>
      <c r="B448" s="315"/>
      <c r="C448" s="326"/>
      <c r="D448" s="315"/>
      <c r="E448" s="321"/>
      <c r="F448" s="322"/>
      <c r="G448" s="315"/>
    </row>
    <row r="449" spans="1:7" s="32" customFormat="1" x14ac:dyDescent="0.25">
      <c r="A449" s="315"/>
      <c r="B449" s="315"/>
      <c r="C449" s="326"/>
      <c r="D449" s="315"/>
      <c r="E449" s="321"/>
      <c r="F449" s="322"/>
      <c r="G449" s="315"/>
    </row>
    <row r="450" spans="1:7" s="32" customFormat="1" x14ac:dyDescent="0.25">
      <c r="A450" s="315"/>
      <c r="B450" s="315"/>
      <c r="C450" s="326"/>
      <c r="D450" s="315"/>
      <c r="E450" s="321"/>
      <c r="F450" s="322"/>
      <c r="G450" s="315"/>
    </row>
    <row r="451" spans="1:7" s="32" customFormat="1" x14ac:dyDescent="0.25">
      <c r="A451" s="315"/>
      <c r="B451" s="315"/>
      <c r="C451" s="326"/>
      <c r="D451" s="315"/>
      <c r="E451" s="321"/>
      <c r="F451" s="322"/>
      <c r="G451" s="315"/>
    </row>
    <row r="452" spans="1:7" s="32" customFormat="1" x14ac:dyDescent="0.25">
      <c r="A452" s="315"/>
      <c r="B452" s="315"/>
      <c r="C452" s="326"/>
      <c r="D452" s="315"/>
      <c r="E452" s="321"/>
      <c r="F452" s="322"/>
      <c r="G452" s="315"/>
    </row>
    <row r="453" spans="1:7" s="32" customFormat="1" x14ac:dyDescent="0.25">
      <c r="A453" s="315"/>
      <c r="B453" s="315"/>
      <c r="C453" s="326"/>
      <c r="D453" s="315"/>
      <c r="E453" s="321"/>
      <c r="F453" s="322"/>
      <c r="G453" s="315"/>
    </row>
    <row r="454" spans="1:7" s="32" customFormat="1" x14ac:dyDescent="0.25">
      <c r="A454" s="315"/>
      <c r="B454" s="315"/>
      <c r="C454" s="326"/>
      <c r="D454" s="315"/>
      <c r="E454" s="321"/>
      <c r="F454" s="322"/>
      <c r="G454" s="315"/>
    </row>
    <row r="455" spans="1:7" s="32" customFormat="1" x14ac:dyDescent="0.25">
      <c r="A455" s="315"/>
      <c r="B455" s="315"/>
      <c r="C455" s="326"/>
      <c r="D455" s="315"/>
      <c r="E455" s="321"/>
      <c r="F455" s="322"/>
      <c r="G455" s="315"/>
    </row>
    <row r="456" spans="1:7" s="32" customFormat="1" x14ac:dyDescent="0.25">
      <c r="A456" s="315"/>
      <c r="B456" s="315"/>
      <c r="C456" s="326"/>
      <c r="D456" s="315"/>
      <c r="E456" s="321"/>
      <c r="F456" s="322"/>
      <c r="G456" s="315"/>
    </row>
    <row r="457" spans="1:7" s="32" customFormat="1" x14ac:dyDescent="0.25">
      <c r="A457" s="315"/>
      <c r="B457" s="315"/>
      <c r="C457" s="326"/>
      <c r="D457" s="315"/>
      <c r="E457" s="321"/>
      <c r="F457" s="322"/>
      <c r="G457" s="315"/>
    </row>
    <row r="458" spans="1:7" s="32" customFormat="1" x14ac:dyDescent="0.25">
      <c r="A458" s="315"/>
      <c r="B458" s="315"/>
      <c r="C458" s="326"/>
      <c r="D458" s="315"/>
      <c r="E458" s="321"/>
      <c r="F458" s="322"/>
      <c r="G458" s="315"/>
    </row>
    <row r="459" spans="1:7" s="32" customFormat="1" x14ac:dyDescent="0.25">
      <c r="A459" s="315"/>
      <c r="B459" s="315"/>
      <c r="C459" s="326"/>
      <c r="D459" s="315"/>
      <c r="E459" s="321"/>
      <c r="F459" s="322"/>
      <c r="G459" s="315"/>
    </row>
    <row r="460" spans="1:7" s="32" customFormat="1" x14ac:dyDescent="0.25">
      <c r="A460" s="315"/>
      <c r="B460" s="315"/>
      <c r="C460" s="326"/>
      <c r="D460" s="315"/>
      <c r="E460" s="321"/>
      <c r="F460" s="322"/>
      <c r="G460" s="315"/>
    </row>
    <row r="461" spans="1:7" s="32" customFormat="1" x14ac:dyDescent="0.25">
      <c r="A461" s="315"/>
      <c r="B461" s="315"/>
      <c r="C461" s="326"/>
      <c r="D461" s="315"/>
      <c r="E461" s="321"/>
      <c r="F461" s="322"/>
      <c r="G461" s="315"/>
    </row>
    <row r="462" spans="1:7" s="32" customFormat="1" x14ac:dyDescent="0.25">
      <c r="A462" s="315"/>
      <c r="B462" s="315"/>
      <c r="C462" s="326"/>
      <c r="D462" s="315"/>
      <c r="E462" s="321"/>
      <c r="F462" s="322"/>
      <c r="G462" s="315"/>
    </row>
    <row r="463" spans="1:7" s="32" customFormat="1" x14ac:dyDescent="0.25">
      <c r="A463" s="315"/>
      <c r="B463" s="315"/>
      <c r="C463" s="326"/>
      <c r="D463" s="315"/>
      <c r="E463" s="321"/>
      <c r="F463" s="322"/>
      <c r="G463" s="315"/>
    </row>
    <row r="464" spans="1:7" s="32" customFormat="1" x14ac:dyDescent="0.25">
      <c r="A464" s="315"/>
      <c r="B464" s="315"/>
      <c r="C464" s="326"/>
      <c r="D464" s="315"/>
      <c r="E464" s="321"/>
      <c r="F464" s="322"/>
      <c r="G464" s="315"/>
    </row>
    <row r="465" spans="1:7" s="32" customFormat="1" x14ac:dyDescent="0.25">
      <c r="A465" s="315"/>
      <c r="B465" s="315"/>
      <c r="C465" s="326"/>
      <c r="D465" s="315"/>
      <c r="E465" s="321"/>
      <c r="F465" s="322"/>
      <c r="G465" s="315"/>
    </row>
    <row r="466" spans="1:7" s="32" customFormat="1" x14ac:dyDescent="0.25">
      <c r="A466" s="315"/>
      <c r="B466" s="315"/>
      <c r="C466" s="326"/>
      <c r="D466" s="315"/>
      <c r="E466" s="321"/>
      <c r="F466" s="322"/>
      <c r="G466" s="315"/>
    </row>
    <row r="467" spans="1:7" s="32" customFormat="1" x14ac:dyDescent="0.25">
      <c r="A467" s="315"/>
      <c r="B467" s="315"/>
      <c r="C467" s="326"/>
      <c r="D467" s="315"/>
      <c r="E467" s="321"/>
      <c r="F467" s="322"/>
      <c r="G467" s="315"/>
    </row>
    <row r="468" spans="1:7" s="32" customFormat="1" x14ac:dyDescent="0.25">
      <c r="A468" s="315"/>
      <c r="B468" s="315"/>
      <c r="C468" s="326"/>
      <c r="D468" s="315"/>
      <c r="E468" s="321"/>
      <c r="F468" s="322"/>
      <c r="G468" s="315"/>
    </row>
    <row r="469" spans="1:7" s="32" customFormat="1" x14ac:dyDescent="0.25">
      <c r="A469" s="315"/>
      <c r="B469" s="315"/>
      <c r="C469" s="326"/>
      <c r="D469" s="315"/>
      <c r="E469" s="321"/>
      <c r="F469" s="322"/>
      <c r="G469" s="315"/>
    </row>
    <row r="470" spans="1:7" s="32" customFormat="1" x14ac:dyDescent="0.25">
      <c r="A470" s="315"/>
      <c r="B470" s="315"/>
      <c r="C470" s="326"/>
      <c r="D470" s="315"/>
      <c r="E470" s="321"/>
      <c r="F470" s="322"/>
      <c r="G470" s="315"/>
    </row>
    <row r="471" spans="1:7" s="32" customFormat="1" x14ac:dyDescent="0.25">
      <c r="A471" s="315"/>
      <c r="B471" s="315"/>
      <c r="C471" s="326"/>
      <c r="D471" s="315"/>
      <c r="E471" s="321"/>
      <c r="F471" s="322"/>
      <c r="G471" s="315"/>
    </row>
    <row r="472" spans="1:7" s="32" customFormat="1" x14ac:dyDescent="0.25">
      <c r="A472" s="315"/>
      <c r="B472" s="315"/>
      <c r="C472" s="326"/>
      <c r="D472" s="315"/>
      <c r="E472" s="321"/>
      <c r="F472" s="322"/>
      <c r="G472" s="315"/>
    </row>
    <row r="473" spans="1:7" s="32" customFormat="1" x14ac:dyDescent="0.25">
      <c r="A473" s="315"/>
      <c r="B473" s="315"/>
      <c r="C473" s="326"/>
      <c r="D473" s="315"/>
      <c r="E473" s="321"/>
      <c r="F473" s="322"/>
      <c r="G473" s="315"/>
    </row>
    <row r="474" spans="1:7" s="32" customFormat="1" x14ac:dyDescent="0.25">
      <c r="A474" s="315"/>
      <c r="B474" s="315"/>
      <c r="C474" s="326"/>
      <c r="D474" s="315"/>
      <c r="E474" s="321"/>
      <c r="F474" s="322"/>
      <c r="G474" s="315"/>
    </row>
    <row r="475" spans="1:7" s="32" customFormat="1" x14ac:dyDescent="0.25">
      <c r="A475" s="315"/>
      <c r="B475" s="315"/>
      <c r="C475" s="326"/>
      <c r="D475" s="315"/>
      <c r="E475" s="321"/>
      <c r="F475" s="322"/>
      <c r="G475" s="315"/>
    </row>
    <row r="476" spans="1:7" s="32" customFormat="1" x14ac:dyDescent="0.25">
      <c r="A476" s="315"/>
      <c r="B476" s="315"/>
      <c r="C476" s="326"/>
      <c r="D476" s="315"/>
      <c r="E476" s="321"/>
      <c r="F476" s="322"/>
      <c r="G476" s="315"/>
    </row>
    <row r="477" spans="1:7" s="32" customFormat="1" x14ac:dyDescent="0.25">
      <c r="A477" s="315"/>
      <c r="B477" s="315"/>
      <c r="C477" s="326"/>
      <c r="D477" s="315"/>
      <c r="E477" s="321"/>
      <c r="F477" s="322"/>
      <c r="G477" s="315"/>
    </row>
    <row r="478" spans="1:7" s="32" customFormat="1" x14ac:dyDescent="0.25">
      <c r="A478" s="315"/>
      <c r="B478" s="315"/>
      <c r="C478" s="326"/>
      <c r="D478" s="315"/>
      <c r="E478" s="321"/>
      <c r="F478" s="322"/>
      <c r="G478" s="315"/>
    </row>
    <row r="479" spans="1:7" s="32" customFormat="1" x14ac:dyDescent="0.25">
      <c r="A479" s="315"/>
      <c r="B479" s="315"/>
      <c r="C479" s="326"/>
      <c r="D479" s="315"/>
      <c r="E479" s="321"/>
      <c r="F479" s="322"/>
      <c r="G479" s="315"/>
    </row>
    <row r="480" spans="1:7" s="32" customFormat="1" x14ac:dyDescent="0.25">
      <c r="A480" s="315"/>
      <c r="B480" s="315"/>
      <c r="C480" s="326"/>
      <c r="D480" s="315"/>
      <c r="E480" s="321"/>
      <c r="F480" s="322"/>
      <c r="G480" s="315"/>
    </row>
    <row r="481" spans="1:7" s="32" customFormat="1" x14ac:dyDescent="0.25">
      <c r="A481" s="315"/>
      <c r="B481" s="315"/>
      <c r="C481" s="326"/>
      <c r="D481" s="315"/>
      <c r="E481" s="321"/>
      <c r="F481" s="322"/>
      <c r="G481" s="315"/>
    </row>
    <row r="482" spans="1:7" s="32" customFormat="1" x14ac:dyDescent="0.25">
      <c r="A482" s="315"/>
      <c r="B482" s="315"/>
      <c r="C482" s="326"/>
      <c r="D482" s="315"/>
      <c r="E482" s="321"/>
      <c r="F482" s="322"/>
      <c r="G482" s="315"/>
    </row>
    <row r="483" spans="1:7" s="32" customFormat="1" x14ac:dyDescent="0.25">
      <c r="A483" s="315"/>
      <c r="B483" s="315"/>
      <c r="C483" s="326"/>
      <c r="D483" s="315"/>
      <c r="E483" s="321"/>
      <c r="F483" s="322"/>
      <c r="G483" s="315"/>
    </row>
    <row r="484" spans="1:7" s="32" customFormat="1" x14ac:dyDescent="0.25">
      <c r="A484" s="315"/>
      <c r="B484" s="315"/>
      <c r="C484" s="326"/>
      <c r="D484" s="315"/>
      <c r="E484" s="321"/>
      <c r="F484" s="322"/>
      <c r="G484" s="315"/>
    </row>
    <row r="485" spans="1:7" s="32" customFormat="1" x14ac:dyDescent="0.25">
      <c r="A485" s="315"/>
      <c r="B485" s="315"/>
      <c r="C485" s="326"/>
      <c r="D485" s="315"/>
      <c r="E485" s="321"/>
      <c r="F485" s="322"/>
      <c r="G485" s="315"/>
    </row>
    <row r="486" spans="1:7" s="32" customFormat="1" x14ac:dyDescent="0.25">
      <c r="A486" s="315"/>
      <c r="B486" s="315"/>
      <c r="C486" s="326"/>
      <c r="D486" s="315"/>
      <c r="E486" s="321"/>
      <c r="F486" s="322"/>
      <c r="G486" s="315"/>
    </row>
    <row r="487" spans="1:7" s="32" customFormat="1" x14ac:dyDescent="0.25">
      <c r="A487" s="315"/>
      <c r="B487" s="315"/>
      <c r="C487" s="326"/>
      <c r="D487" s="315"/>
      <c r="E487" s="321"/>
      <c r="F487" s="322"/>
      <c r="G487" s="315"/>
    </row>
    <row r="488" spans="1:7" s="32" customFormat="1" x14ac:dyDescent="0.25">
      <c r="A488" s="315"/>
      <c r="B488" s="315"/>
      <c r="C488" s="326"/>
      <c r="D488" s="315"/>
      <c r="E488" s="321"/>
      <c r="F488" s="322"/>
      <c r="G488" s="315"/>
    </row>
    <row r="489" spans="1:7" s="32" customFormat="1" x14ac:dyDescent="0.25">
      <c r="A489" s="315"/>
      <c r="B489" s="315"/>
      <c r="C489" s="326"/>
      <c r="D489" s="315"/>
      <c r="E489" s="321"/>
      <c r="F489" s="322"/>
      <c r="G489" s="315"/>
    </row>
    <row r="490" spans="1:7" s="32" customFormat="1" x14ac:dyDescent="0.25">
      <c r="A490" s="315"/>
      <c r="B490" s="315"/>
      <c r="C490" s="326"/>
      <c r="D490" s="315"/>
      <c r="E490" s="321"/>
      <c r="F490" s="322"/>
      <c r="G490" s="315"/>
    </row>
    <row r="491" spans="1:7" s="32" customFormat="1" x14ac:dyDescent="0.25">
      <c r="A491" s="315"/>
      <c r="B491" s="315"/>
      <c r="C491" s="326"/>
      <c r="D491" s="315"/>
      <c r="E491" s="321"/>
      <c r="F491" s="322"/>
      <c r="G491" s="315"/>
    </row>
    <row r="492" spans="1:7" s="32" customFormat="1" x14ac:dyDescent="0.25">
      <c r="A492" s="315"/>
      <c r="B492" s="315"/>
      <c r="C492" s="326"/>
      <c r="D492" s="315"/>
      <c r="E492" s="321"/>
      <c r="F492" s="322"/>
      <c r="G492" s="315"/>
    </row>
    <row r="493" spans="1:7" s="32" customFormat="1" x14ac:dyDescent="0.25">
      <c r="A493" s="315"/>
      <c r="B493" s="315"/>
      <c r="C493" s="326"/>
      <c r="D493" s="315"/>
      <c r="E493" s="321"/>
      <c r="F493" s="322"/>
      <c r="G493" s="315"/>
    </row>
    <row r="494" spans="1:7" s="32" customFormat="1" x14ac:dyDescent="0.25">
      <c r="A494" s="315"/>
      <c r="B494" s="315"/>
      <c r="C494" s="326"/>
      <c r="D494" s="315"/>
      <c r="E494" s="321"/>
      <c r="F494" s="322"/>
      <c r="G494" s="315"/>
    </row>
    <row r="495" spans="1:7" s="32" customFormat="1" x14ac:dyDescent="0.25">
      <c r="A495" s="315"/>
      <c r="B495" s="315"/>
      <c r="C495" s="326"/>
      <c r="D495" s="315"/>
      <c r="E495" s="321"/>
      <c r="F495" s="322"/>
      <c r="G495" s="315"/>
    </row>
    <row r="496" spans="1:7" s="32" customFormat="1" x14ac:dyDescent="0.25">
      <c r="A496" s="315"/>
      <c r="B496" s="315"/>
      <c r="C496" s="326"/>
      <c r="D496" s="315"/>
      <c r="E496" s="321"/>
      <c r="F496" s="322"/>
      <c r="G496" s="315"/>
    </row>
    <row r="497" spans="1:7" s="32" customFormat="1" x14ac:dyDescent="0.25">
      <c r="A497" s="315"/>
      <c r="B497" s="315"/>
      <c r="C497" s="326"/>
      <c r="D497" s="315"/>
      <c r="E497" s="321"/>
      <c r="F497" s="322"/>
      <c r="G497" s="315"/>
    </row>
    <row r="498" spans="1:7" s="32" customFormat="1" x14ac:dyDescent="0.25">
      <c r="A498" s="315"/>
      <c r="B498" s="315"/>
      <c r="C498" s="326"/>
      <c r="D498" s="315"/>
      <c r="E498" s="321"/>
      <c r="F498" s="322"/>
      <c r="G498" s="315"/>
    </row>
    <row r="499" spans="1:7" s="32" customFormat="1" x14ac:dyDescent="0.25">
      <c r="A499" s="315"/>
      <c r="B499" s="315"/>
      <c r="C499" s="326"/>
      <c r="D499" s="315"/>
      <c r="E499" s="321"/>
      <c r="F499" s="322"/>
      <c r="G499" s="315"/>
    </row>
    <row r="500" spans="1:7" s="32" customFormat="1" x14ac:dyDescent="0.25">
      <c r="A500" s="315"/>
      <c r="B500" s="315"/>
      <c r="C500" s="326"/>
      <c r="D500" s="315"/>
      <c r="E500" s="321"/>
      <c r="F500" s="322"/>
      <c r="G500" s="315"/>
    </row>
    <row r="501" spans="1:7" s="32" customFormat="1" x14ac:dyDescent="0.25">
      <c r="A501" s="315"/>
      <c r="B501" s="315"/>
      <c r="C501" s="326"/>
      <c r="D501" s="315"/>
      <c r="E501" s="321"/>
      <c r="F501" s="322"/>
      <c r="G501" s="315"/>
    </row>
    <row r="502" spans="1:7" s="32" customFormat="1" x14ac:dyDescent="0.25">
      <c r="A502" s="315"/>
      <c r="B502" s="315"/>
      <c r="C502" s="326"/>
      <c r="D502" s="315"/>
      <c r="E502" s="321"/>
      <c r="F502" s="322"/>
      <c r="G502" s="315"/>
    </row>
    <row r="503" spans="1:7" s="32" customFormat="1" x14ac:dyDescent="0.25">
      <c r="A503" s="315"/>
      <c r="B503" s="315"/>
      <c r="C503" s="326"/>
      <c r="D503" s="315"/>
      <c r="E503" s="321"/>
      <c r="F503" s="322"/>
      <c r="G503" s="315"/>
    </row>
    <row r="504" spans="1:7" s="32" customFormat="1" x14ac:dyDescent="0.25">
      <c r="A504" s="315"/>
      <c r="B504" s="315"/>
      <c r="C504" s="326"/>
      <c r="D504" s="315"/>
      <c r="E504" s="321"/>
      <c r="F504" s="322"/>
      <c r="G504" s="315"/>
    </row>
    <row r="505" spans="1:7" s="32" customFormat="1" x14ac:dyDescent="0.25">
      <c r="A505" s="315"/>
      <c r="B505" s="315"/>
      <c r="C505" s="326"/>
      <c r="D505" s="315"/>
      <c r="E505" s="321"/>
      <c r="F505" s="322"/>
      <c r="G505" s="315"/>
    </row>
    <row r="506" spans="1:7" s="32" customFormat="1" x14ac:dyDescent="0.25">
      <c r="A506" s="315"/>
      <c r="B506" s="315"/>
      <c r="C506" s="326"/>
      <c r="D506" s="315"/>
      <c r="E506" s="321"/>
      <c r="F506" s="322"/>
      <c r="G506" s="315"/>
    </row>
    <row r="507" spans="1:7" s="32" customFormat="1" x14ac:dyDescent="0.25">
      <c r="A507" s="315"/>
      <c r="B507" s="315"/>
      <c r="C507" s="326"/>
      <c r="D507" s="315"/>
      <c r="E507" s="321"/>
      <c r="F507" s="322"/>
      <c r="G507" s="315"/>
    </row>
    <row r="508" spans="1:7" s="32" customFormat="1" x14ac:dyDescent="0.25">
      <c r="A508" s="315"/>
      <c r="B508" s="315"/>
      <c r="C508" s="326"/>
      <c r="D508" s="315"/>
      <c r="E508" s="321"/>
      <c r="F508" s="322"/>
      <c r="G508" s="315"/>
    </row>
    <row r="509" spans="1:7" s="32" customFormat="1" x14ac:dyDescent="0.25">
      <c r="A509" s="315"/>
      <c r="B509" s="315"/>
      <c r="C509" s="326"/>
      <c r="D509" s="315"/>
      <c r="E509" s="321"/>
      <c r="F509" s="322"/>
      <c r="G509" s="315"/>
    </row>
    <row r="510" spans="1:7" s="32" customFormat="1" x14ac:dyDescent="0.25">
      <c r="A510" s="315"/>
      <c r="B510" s="315"/>
      <c r="C510" s="326"/>
      <c r="D510" s="315"/>
      <c r="E510" s="321"/>
      <c r="F510" s="322"/>
      <c r="G510" s="315"/>
    </row>
    <row r="511" spans="1:7" s="32" customFormat="1" x14ac:dyDescent="0.25">
      <c r="A511" s="315"/>
      <c r="B511" s="315"/>
      <c r="C511" s="326"/>
      <c r="D511" s="315"/>
      <c r="E511" s="321"/>
      <c r="F511" s="322"/>
      <c r="G511" s="315"/>
    </row>
    <row r="512" spans="1:7" s="32" customFormat="1" x14ac:dyDescent="0.25">
      <c r="A512" s="315"/>
      <c r="B512" s="315"/>
      <c r="C512" s="326"/>
      <c r="D512" s="315"/>
      <c r="E512" s="321"/>
      <c r="F512" s="322"/>
      <c r="G512" s="315"/>
    </row>
    <row r="513" spans="1:7" s="32" customFormat="1" x14ac:dyDescent="0.25">
      <c r="A513" s="315"/>
      <c r="B513" s="315"/>
      <c r="C513" s="326"/>
      <c r="D513" s="315"/>
      <c r="E513" s="321"/>
      <c r="F513" s="322"/>
      <c r="G513" s="315"/>
    </row>
    <row r="514" spans="1:7" s="32" customFormat="1" x14ac:dyDescent="0.25">
      <c r="A514" s="315"/>
      <c r="B514" s="315"/>
      <c r="C514" s="326"/>
      <c r="D514" s="315"/>
      <c r="E514" s="321"/>
      <c r="F514" s="322"/>
      <c r="G514" s="315"/>
    </row>
    <row r="515" spans="1:7" s="32" customFormat="1" x14ac:dyDescent="0.25">
      <c r="A515" s="315"/>
      <c r="B515" s="315"/>
      <c r="C515" s="326"/>
      <c r="D515" s="315"/>
      <c r="E515" s="321"/>
      <c r="F515" s="322"/>
      <c r="G515" s="315"/>
    </row>
    <row r="516" spans="1:7" s="32" customFormat="1" x14ac:dyDescent="0.25">
      <c r="A516" s="315"/>
      <c r="B516" s="315"/>
      <c r="C516" s="326"/>
      <c r="D516" s="315"/>
      <c r="E516" s="321"/>
      <c r="F516" s="322"/>
      <c r="G516" s="315"/>
    </row>
    <row r="517" spans="1:7" s="32" customFormat="1" x14ac:dyDescent="0.25">
      <c r="A517" s="315"/>
      <c r="B517" s="315"/>
      <c r="C517" s="326"/>
      <c r="D517" s="315"/>
      <c r="E517" s="321"/>
      <c r="F517" s="322"/>
      <c r="G517" s="315"/>
    </row>
    <row r="518" spans="1:7" s="32" customFormat="1" x14ac:dyDescent="0.25">
      <c r="A518" s="315"/>
      <c r="B518" s="315"/>
      <c r="C518" s="326"/>
      <c r="D518" s="315"/>
      <c r="E518" s="321"/>
      <c r="F518" s="322"/>
      <c r="G518" s="315"/>
    </row>
    <row r="519" spans="1:7" s="32" customFormat="1" x14ac:dyDescent="0.25">
      <c r="A519" s="315"/>
      <c r="B519" s="315"/>
      <c r="C519" s="326"/>
      <c r="D519" s="315"/>
      <c r="E519" s="321"/>
      <c r="F519" s="322"/>
      <c r="G519" s="315"/>
    </row>
    <row r="520" spans="1:7" s="32" customFormat="1" x14ac:dyDescent="0.25">
      <c r="A520" s="315"/>
      <c r="B520" s="315"/>
      <c r="C520" s="326"/>
      <c r="D520" s="315"/>
      <c r="E520" s="321"/>
      <c r="F520" s="322"/>
      <c r="G520" s="315"/>
    </row>
    <row r="521" spans="1:7" s="32" customFormat="1" x14ac:dyDescent="0.25">
      <c r="A521" s="315"/>
      <c r="B521" s="315"/>
      <c r="C521" s="326"/>
      <c r="D521" s="315"/>
      <c r="E521" s="321"/>
      <c r="F521" s="322"/>
      <c r="G521" s="315"/>
    </row>
    <row r="522" spans="1:7" s="32" customFormat="1" x14ac:dyDescent="0.25">
      <c r="A522" s="315"/>
      <c r="B522" s="315"/>
      <c r="C522" s="326"/>
      <c r="D522" s="315"/>
      <c r="E522" s="321"/>
      <c r="F522" s="322"/>
      <c r="G522" s="315"/>
    </row>
    <row r="523" spans="1:7" s="32" customFormat="1" x14ac:dyDescent="0.25">
      <c r="A523" s="315"/>
      <c r="B523" s="315"/>
      <c r="C523" s="326"/>
      <c r="D523" s="315"/>
      <c r="E523" s="321"/>
      <c r="F523" s="322"/>
      <c r="G523" s="315"/>
    </row>
    <row r="524" spans="1:7" s="32" customFormat="1" x14ac:dyDescent="0.25">
      <c r="A524" s="315"/>
      <c r="B524" s="315"/>
      <c r="C524" s="326"/>
      <c r="D524" s="315"/>
      <c r="E524" s="321"/>
      <c r="F524" s="322"/>
      <c r="G524" s="315"/>
    </row>
    <row r="525" spans="1:7" s="32" customFormat="1" x14ac:dyDescent="0.25">
      <c r="A525" s="315"/>
      <c r="B525" s="315"/>
      <c r="C525" s="326"/>
      <c r="D525" s="315"/>
      <c r="E525" s="321"/>
      <c r="F525" s="322"/>
      <c r="G525" s="315"/>
    </row>
    <row r="526" spans="1:7" s="32" customFormat="1" x14ac:dyDescent="0.25">
      <c r="A526" s="315"/>
      <c r="B526" s="315"/>
      <c r="C526" s="326"/>
      <c r="D526" s="315"/>
      <c r="E526" s="321"/>
      <c r="F526" s="322"/>
      <c r="G526" s="315"/>
    </row>
    <row r="527" spans="1:7" s="32" customFormat="1" x14ac:dyDescent="0.25">
      <c r="A527" s="315"/>
      <c r="B527" s="315"/>
      <c r="C527" s="326"/>
      <c r="D527" s="315"/>
      <c r="E527" s="321"/>
      <c r="F527" s="322"/>
      <c r="G527" s="315"/>
    </row>
    <row r="528" spans="1:7" s="32" customFormat="1" x14ac:dyDescent="0.25">
      <c r="A528" s="315"/>
      <c r="B528" s="315"/>
      <c r="C528" s="326"/>
      <c r="D528" s="315"/>
      <c r="E528" s="321"/>
      <c r="F528" s="322"/>
      <c r="G528" s="315"/>
    </row>
    <row r="529" spans="1:7" s="32" customFormat="1" x14ac:dyDescent="0.25">
      <c r="A529" s="315"/>
      <c r="B529" s="315"/>
      <c r="C529" s="326"/>
      <c r="D529" s="315"/>
      <c r="E529" s="321"/>
      <c r="F529" s="322"/>
      <c r="G529" s="315"/>
    </row>
    <row r="530" spans="1:7" s="32" customFormat="1" x14ac:dyDescent="0.25">
      <c r="A530" s="315"/>
      <c r="B530" s="315"/>
      <c r="C530" s="326"/>
      <c r="D530" s="315"/>
      <c r="E530" s="321"/>
      <c r="F530" s="322"/>
      <c r="G530" s="315"/>
    </row>
    <row r="531" spans="1:7" s="32" customFormat="1" x14ac:dyDescent="0.25">
      <c r="A531" s="315"/>
      <c r="B531" s="315"/>
      <c r="C531" s="326"/>
      <c r="D531" s="315"/>
      <c r="E531" s="321"/>
      <c r="F531" s="322"/>
      <c r="G531" s="315"/>
    </row>
    <row r="532" spans="1:7" s="32" customFormat="1" x14ac:dyDescent="0.25">
      <c r="A532" s="315"/>
      <c r="B532" s="315"/>
      <c r="C532" s="326"/>
      <c r="D532" s="315"/>
      <c r="E532" s="321"/>
      <c r="F532" s="322"/>
      <c r="G532" s="315"/>
    </row>
    <row r="533" spans="1:7" s="32" customFormat="1" x14ac:dyDescent="0.25">
      <c r="A533" s="315"/>
      <c r="B533" s="315"/>
      <c r="C533" s="326"/>
      <c r="D533" s="315"/>
      <c r="E533" s="321"/>
      <c r="F533" s="322"/>
      <c r="G533" s="315"/>
    </row>
    <row r="534" spans="1:7" s="32" customFormat="1" x14ac:dyDescent="0.25">
      <c r="A534" s="315"/>
      <c r="B534" s="315"/>
      <c r="C534" s="326"/>
      <c r="D534" s="315"/>
      <c r="E534" s="321"/>
      <c r="F534" s="322"/>
      <c r="G534" s="315"/>
    </row>
    <row r="535" spans="1:7" s="32" customFormat="1" x14ac:dyDescent="0.25">
      <c r="A535" s="315"/>
      <c r="B535" s="315"/>
      <c r="C535" s="326"/>
      <c r="D535" s="315"/>
      <c r="E535" s="321"/>
      <c r="F535" s="322"/>
      <c r="G535" s="315"/>
    </row>
    <row r="536" spans="1:7" s="32" customFormat="1" x14ac:dyDescent="0.25">
      <c r="A536" s="315"/>
      <c r="B536" s="315"/>
      <c r="C536" s="326"/>
      <c r="D536" s="315"/>
      <c r="E536" s="321"/>
      <c r="F536" s="322"/>
      <c r="G536" s="315"/>
    </row>
    <row r="537" spans="1:7" s="32" customFormat="1" x14ac:dyDescent="0.25">
      <c r="A537" s="315"/>
      <c r="B537" s="315"/>
      <c r="C537" s="326"/>
      <c r="D537" s="315"/>
      <c r="E537" s="321"/>
      <c r="F537" s="322"/>
      <c r="G537" s="315"/>
    </row>
    <row r="538" spans="1:7" s="32" customFormat="1" x14ac:dyDescent="0.25">
      <c r="A538" s="315"/>
      <c r="B538" s="315"/>
      <c r="C538" s="326"/>
      <c r="D538" s="315"/>
      <c r="E538" s="321"/>
      <c r="F538" s="322"/>
      <c r="G538" s="315"/>
    </row>
    <row r="539" spans="1:7" s="32" customFormat="1" x14ac:dyDescent="0.25">
      <c r="A539" s="315"/>
      <c r="B539" s="315"/>
      <c r="C539" s="326"/>
      <c r="D539" s="315"/>
      <c r="E539" s="321"/>
      <c r="F539" s="322"/>
      <c r="G539" s="315"/>
    </row>
    <row r="540" spans="1:7" s="32" customFormat="1" x14ac:dyDescent="0.25">
      <c r="A540" s="315"/>
      <c r="B540" s="315"/>
      <c r="C540" s="326"/>
      <c r="D540" s="315"/>
      <c r="E540" s="321"/>
      <c r="F540" s="322"/>
      <c r="G540" s="315"/>
    </row>
    <row r="541" spans="1:7" s="32" customFormat="1" x14ac:dyDescent="0.25">
      <c r="A541" s="315"/>
      <c r="B541" s="315"/>
      <c r="C541" s="326"/>
      <c r="D541" s="315"/>
      <c r="E541" s="321"/>
      <c r="F541" s="322"/>
      <c r="G541" s="315"/>
    </row>
    <row r="542" spans="1:7" s="32" customFormat="1" x14ac:dyDescent="0.25">
      <c r="A542" s="315"/>
      <c r="B542" s="315"/>
      <c r="C542" s="326"/>
      <c r="D542" s="315"/>
      <c r="E542" s="321"/>
      <c r="F542" s="322"/>
      <c r="G542" s="315"/>
    </row>
    <row r="543" spans="1:7" s="32" customFormat="1" x14ac:dyDescent="0.25">
      <c r="A543" s="315"/>
      <c r="B543" s="315"/>
      <c r="C543" s="326"/>
      <c r="D543" s="315"/>
      <c r="E543" s="321"/>
      <c r="F543" s="322"/>
      <c r="G543" s="315"/>
    </row>
    <row r="544" spans="1:7" s="32" customFormat="1" x14ac:dyDescent="0.25">
      <c r="A544" s="315"/>
      <c r="B544" s="315"/>
      <c r="C544" s="326"/>
      <c r="D544" s="315"/>
      <c r="E544" s="321"/>
      <c r="F544" s="322"/>
      <c r="G544" s="315"/>
    </row>
    <row r="545" spans="1:7" s="32" customFormat="1" x14ac:dyDescent="0.25">
      <c r="A545" s="315"/>
      <c r="B545" s="315"/>
      <c r="C545" s="326"/>
      <c r="D545" s="315"/>
      <c r="E545" s="321"/>
      <c r="F545" s="322"/>
      <c r="G545" s="315"/>
    </row>
    <row r="546" spans="1:7" s="32" customFormat="1" x14ac:dyDescent="0.25">
      <c r="A546" s="315"/>
      <c r="B546" s="315"/>
      <c r="C546" s="326"/>
      <c r="D546" s="315"/>
      <c r="E546" s="321"/>
      <c r="F546" s="322"/>
      <c r="G546" s="315"/>
    </row>
    <row r="547" spans="1:7" s="32" customFormat="1" x14ac:dyDescent="0.25">
      <c r="A547" s="315"/>
      <c r="B547" s="315"/>
      <c r="C547" s="326"/>
      <c r="D547" s="315"/>
      <c r="E547" s="321"/>
      <c r="F547" s="322"/>
      <c r="G547" s="315"/>
    </row>
    <row r="548" spans="1:7" s="32" customFormat="1" x14ac:dyDescent="0.25">
      <c r="A548" s="315"/>
      <c r="B548" s="315"/>
      <c r="C548" s="326"/>
      <c r="D548" s="315"/>
      <c r="E548" s="321"/>
      <c r="F548" s="322"/>
      <c r="G548" s="315"/>
    </row>
    <row r="549" spans="1:7" s="32" customFormat="1" x14ac:dyDescent="0.25">
      <c r="A549" s="315"/>
      <c r="B549" s="315"/>
      <c r="C549" s="326"/>
      <c r="D549" s="315"/>
      <c r="E549" s="321"/>
      <c r="F549" s="322"/>
      <c r="G549" s="315"/>
    </row>
    <row r="550" spans="1:7" s="32" customFormat="1" x14ac:dyDescent="0.25">
      <c r="A550" s="315"/>
      <c r="B550" s="315"/>
      <c r="C550" s="326"/>
      <c r="D550" s="315"/>
      <c r="E550" s="321"/>
      <c r="F550" s="322"/>
      <c r="G550" s="315"/>
    </row>
    <row r="551" spans="1:7" s="32" customFormat="1" x14ac:dyDescent="0.25">
      <c r="A551" s="315"/>
      <c r="B551" s="315"/>
      <c r="C551" s="326"/>
      <c r="D551" s="315"/>
      <c r="E551" s="321"/>
      <c r="F551" s="322"/>
      <c r="G551" s="315"/>
    </row>
    <row r="552" spans="1:7" s="32" customFormat="1" x14ac:dyDescent="0.25">
      <c r="A552" s="315"/>
      <c r="B552" s="315"/>
      <c r="C552" s="326"/>
      <c r="D552" s="315"/>
      <c r="E552" s="321"/>
      <c r="F552" s="322"/>
      <c r="G552" s="315"/>
    </row>
    <row r="553" spans="1:7" s="32" customFormat="1" x14ac:dyDescent="0.25">
      <c r="A553" s="315"/>
      <c r="B553" s="315"/>
      <c r="C553" s="326"/>
      <c r="D553" s="315"/>
      <c r="E553" s="321"/>
      <c r="F553" s="322"/>
      <c r="G553" s="315"/>
    </row>
    <row r="554" spans="1:7" s="32" customFormat="1" x14ac:dyDescent="0.25">
      <c r="A554" s="315"/>
      <c r="B554" s="315"/>
      <c r="C554" s="326"/>
      <c r="D554" s="315"/>
      <c r="E554" s="321"/>
      <c r="F554" s="322"/>
      <c r="G554" s="315"/>
    </row>
    <row r="555" spans="1:7" s="32" customFormat="1" x14ac:dyDescent="0.25">
      <c r="A555" s="315"/>
      <c r="B555" s="315"/>
      <c r="C555" s="326"/>
      <c r="D555" s="315"/>
      <c r="E555" s="321"/>
      <c r="F555" s="322"/>
      <c r="G555" s="315"/>
    </row>
    <row r="556" spans="1:7" s="32" customFormat="1" x14ac:dyDescent="0.25">
      <c r="A556" s="315"/>
      <c r="B556" s="315"/>
      <c r="C556" s="326"/>
      <c r="D556" s="315"/>
      <c r="E556" s="321"/>
      <c r="F556" s="322"/>
      <c r="G556" s="315"/>
    </row>
    <row r="557" spans="1:7" s="32" customFormat="1" x14ac:dyDescent="0.25">
      <c r="A557" s="315"/>
      <c r="B557" s="315"/>
      <c r="C557" s="326"/>
      <c r="D557" s="315"/>
      <c r="E557" s="321"/>
      <c r="F557" s="322"/>
      <c r="G557" s="315"/>
    </row>
    <row r="558" spans="1:7" s="32" customFormat="1" x14ac:dyDescent="0.25">
      <c r="A558" s="315"/>
      <c r="B558" s="315"/>
      <c r="C558" s="326"/>
      <c r="D558" s="315"/>
      <c r="E558" s="321"/>
      <c r="F558" s="322"/>
      <c r="G558" s="315"/>
    </row>
    <row r="559" spans="1:7" s="32" customFormat="1" x14ac:dyDescent="0.25">
      <c r="A559" s="315"/>
      <c r="B559" s="315"/>
      <c r="C559" s="326"/>
      <c r="D559" s="315"/>
      <c r="E559" s="321"/>
      <c r="F559" s="322"/>
      <c r="G559" s="315"/>
    </row>
    <row r="560" spans="1:7" s="32" customFormat="1" x14ac:dyDescent="0.25">
      <c r="A560" s="315"/>
      <c r="B560" s="315"/>
      <c r="C560" s="326"/>
      <c r="D560" s="315"/>
      <c r="E560" s="321"/>
      <c r="F560" s="322"/>
      <c r="G560" s="315"/>
    </row>
    <row r="561" spans="1:7" s="32" customFormat="1" x14ac:dyDescent="0.25">
      <c r="A561" s="315"/>
      <c r="B561" s="315"/>
      <c r="C561" s="326"/>
      <c r="D561" s="315"/>
      <c r="E561" s="321"/>
      <c r="F561" s="322"/>
      <c r="G561" s="315"/>
    </row>
    <row r="562" spans="1:7" s="32" customFormat="1" x14ac:dyDescent="0.25">
      <c r="A562" s="315"/>
      <c r="B562" s="315"/>
      <c r="C562" s="326"/>
      <c r="D562" s="315"/>
      <c r="E562" s="321"/>
      <c r="F562" s="322"/>
      <c r="G562" s="315"/>
    </row>
    <row r="563" spans="1:7" s="32" customFormat="1" x14ac:dyDescent="0.25">
      <c r="A563" s="315"/>
      <c r="B563" s="315"/>
      <c r="C563" s="326"/>
      <c r="D563" s="315"/>
      <c r="E563" s="321"/>
      <c r="F563" s="322"/>
      <c r="G563" s="315"/>
    </row>
    <row r="564" spans="1:7" s="32" customFormat="1" x14ac:dyDescent="0.25">
      <c r="A564" s="315"/>
      <c r="B564" s="315"/>
      <c r="C564" s="326"/>
      <c r="D564" s="315"/>
      <c r="E564" s="321"/>
      <c r="F564" s="322"/>
      <c r="G564" s="315"/>
    </row>
    <row r="565" spans="1:7" s="32" customFormat="1" x14ac:dyDescent="0.25">
      <c r="A565" s="315"/>
      <c r="B565" s="315"/>
      <c r="C565" s="326"/>
      <c r="D565" s="315"/>
      <c r="E565" s="321"/>
      <c r="F565" s="322"/>
      <c r="G565" s="315"/>
    </row>
    <row r="566" spans="1:7" s="32" customFormat="1" x14ac:dyDescent="0.25">
      <c r="A566" s="315"/>
      <c r="B566" s="315"/>
      <c r="C566" s="326"/>
      <c r="D566" s="315"/>
      <c r="E566" s="321"/>
      <c r="F566" s="322"/>
      <c r="G566" s="315"/>
    </row>
    <row r="567" spans="1:7" s="32" customFormat="1" x14ac:dyDescent="0.25">
      <c r="A567" s="315"/>
      <c r="B567" s="315"/>
      <c r="C567" s="326"/>
      <c r="D567" s="315"/>
      <c r="E567" s="321"/>
      <c r="F567" s="322"/>
      <c r="G567" s="315"/>
    </row>
    <row r="568" spans="1:7" s="32" customFormat="1" x14ac:dyDescent="0.25">
      <c r="A568" s="315"/>
      <c r="B568" s="315"/>
      <c r="C568" s="326"/>
      <c r="D568" s="315"/>
      <c r="E568" s="321"/>
      <c r="F568" s="322"/>
      <c r="G568" s="315"/>
    </row>
    <row r="569" spans="1:7" s="32" customFormat="1" x14ac:dyDescent="0.25">
      <c r="A569" s="315"/>
      <c r="B569" s="315"/>
      <c r="C569" s="326"/>
      <c r="D569" s="315"/>
      <c r="E569" s="321"/>
      <c r="F569" s="322"/>
      <c r="G569" s="315"/>
    </row>
    <row r="570" spans="1:7" s="32" customFormat="1" x14ac:dyDescent="0.25">
      <c r="A570" s="315"/>
      <c r="B570" s="315"/>
      <c r="C570" s="326"/>
      <c r="D570" s="315"/>
      <c r="E570" s="321"/>
      <c r="F570" s="322"/>
      <c r="G570" s="315"/>
    </row>
    <row r="571" spans="1:7" s="32" customFormat="1" x14ac:dyDescent="0.25">
      <c r="A571" s="315"/>
      <c r="B571" s="315"/>
      <c r="C571" s="326"/>
      <c r="D571" s="315"/>
      <c r="E571" s="321"/>
      <c r="F571" s="322"/>
      <c r="G571" s="315"/>
    </row>
    <row r="572" spans="1:7" s="32" customFormat="1" x14ac:dyDescent="0.25">
      <c r="A572" s="315"/>
      <c r="B572" s="315"/>
      <c r="C572" s="326"/>
      <c r="D572" s="315"/>
      <c r="E572" s="321"/>
      <c r="F572" s="322"/>
      <c r="G572" s="315"/>
    </row>
    <row r="573" spans="1:7" s="32" customFormat="1" x14ac:dyDescent="0.25">
      <c r="A573" s="315"/>
      <c r="B573" s="315"/>
      <c r="C573" s="326"/>
      <c r="D573" s="315"/>
      <c r="E573" s="321"/>
      <c r="F573" s="322"/>
      <c r="G573" s="315"/>
    </row>
    <row r="574" spans="1:7" s="32" customFormat="1" x14ac:dyDescent="0.25">
      <c r="A574" s="315"/>
      <c r="B574" s="315"/>
      <c r="C574" s="326"/>
      <c r="D574" s="315"/>
      <c r="E574" s="321"/>
      <c r="F574" s="322"/>
      <c r="G574" s="315"/>
    </row>
    <row r="575" spans="1:7" s="32" customFormat="1" x14ac:dyDescent="0.25">
      <c r="A575" s="315"/>
      <c r="B575" s="315"/>
      <c r="C575" s="326"/>
      <c r="D575" s="315"/>
      <c r="E575" s="321"/>
      <c r="F575" s="322"/>
      <c r="G575" s="315"/>
    </row>
    <row r="576" spans="1:7" s="32" customFormat="1" x14ac:dyDescent="0.25">
      <c r="A576" s="315"/>
      <c r="B576" s="315"/>
      <c r="C576" s="326"/>
      <c r="D576" s="315"/>
      <c r="E576" s="321"/>
      <c r="F576" s="322"/>
      <c r="G576" s="315"/>
    </row>
    <row r="577" spans="1:7" s="32" customFormat="1" x14ac:dyDescent="0.25">
      <c r="A577" s="315"/>
      <c r="B577" s="315"/>
      <c r="C577" s="326"/>
      <c r="D577" s="315"/>
      <c r="E577" s="321"/>
      <c r="F577" s="322"/>
      <c r="G577" s="315"/>
    </row>
    <row r="578" spans="1:7" s="32" customFormat="1" x14ac:dyDescent="0.25">
      <c r="A578" s="315"/>
      <c r="B578" s="315"/>
      <c r="C578" s="326"/>
      <c r="D578" s="315"/>
      <c r="E578" s="321"/>
      <c r="F578" s="322"/>
      <c r="G578" s="315"/>
    </row>
    <row r="579" spans="1:7" s="32" customFormat="1" x14ac:dyDescent="0.25">
      <c r="A579" s="315"/>
      <c r="B579" s="315"/>
      <c r="C579" s="326"/>
      <c r="D579" s="315"/>
      <c r="E579" s="321"/>
      <c r="F579" s="322"/>
      <c r="G579" s="315"/>
    </row>
    <row r="580" spans="1:7" s="32" customFormat="1" x14ac:dyDescent="0.25">
      <c r="A580" s="315"/>
      <c r="B580" s="315"/>
      <c r="C580" s="326"/>
      <c r="D580" s="315"/>
      <c r="E580" s="321"/>
      <c r="F580" s="322"/>
      <c r="G580" s="315"/>
    </row>
    <row r="581" spans="1:7" s="32" customFormat="1" x14ac:dyDescent="0.25">
      <c r="A581" s="315"/>
      <c r="B581" s="315"/>
      <c r="C581" s="326"/>
      <c r="D581" s="315"/>
      <c r="E581" s="321"/>
      <c r="F581" s="322"/>
      <c r="G581" s="315"/>
    </row>
    <row r="582" spans="1:7" s="32" customFormat="1" x14ac:dyDescent="0.25">
      <c r="A582" s="315"/>
      <c r="B582" s="315"/>
      <c r="C582" s="326"/>
      <c r="D582" s="315"/>
      <c r="E582" s="321"/>
      <c r="F582" s="322"/>
      <c r="G582" s="315"/>
    </row>
    <row r="583" spans="1:7" s="32" customFormat="1" x14ac:dyDescent="0.25">
      <c r="A583" s="315"/>
      <c r="B583" s="315"/>
      <c r="C583" s="326"/>
      <c r="D583" s="315"/>
      <c r="E583" s="321"/>
      <c r="F583" s="322"/>
      <c r="G583" s="315"/>
    </row>
    <row r="584" spans="1:7" s="32" customFormat="1" x14ac:dyDescent="0.25">
      <c r="A584" s="315"/>
      <c r="B584" s="315"/>
      <c r="C584" s="326"/>
      <c r="D584" s="315"/>
      <c r="E584" s="321"/>
      <c r="F584" s="322"/>
      <c r="G584" s="315"/>
    </row>
    <row r="585" spans="1:7" s="32" customFormat="1" x14ac:dyDescent="0.25">
      <c r="A585" s="315"/>
      <c r="B585" s="315"/>
      <c r="C585" s="326"/>
      <c r="D585" s="315"/>
      <c r="E585" s="321"/>
      <c r="F585" s="322"/>
      <c r="G585" s="315"/>
    </row>
    <row r="586" spans="1:7" s="32" customFormat="1" x14ac:dyDescent="0.25">
      <c r="A586" s="315"/>
      <c r="B586" s="315"/>
      <c r="C586" s="326"/>
      <c r="D586" s="315"/>
      <c r="E586" s="321"/>
      <c r="F586" s="322"/>
      <c r="G586" s="315"/>
    </row>
    <row r="587" spans="1:7" s="32" customFormat="1" x14ac:dyDescent="0.25">
      <c r="A587" s="315"/>
      <c r="B587" s="315"/>
      <c r="C587" s="326"/>
      <c r="D587" s="315"/>
      <c r="E587" s="321"/>
      <c r="F587" s="322"/>
      <c r="G587" s="315"/>
    </row>
    <row r="588" spans="1:7" s="32" customFormat="1" x14ac:dyDescent="0.25">
      <c r="A588" s="315"/>
      <c r="B588" s="315"/>
      <c r="C588" s="326"/>
      <c r="D588" s="315"/>
      <c r="E588" s="321"/>
      <c r="F588" s="322"/>
      <c r="G588" s="315"/>
    </row>
    <row r="589" spans="1:7" s="32" customFormat="1" x14ac:dyDescent="0.25">
      <c r="A589" s="315"/>
      <c r="B589" s="315"/>
      <c r="C589" s="326"/>
      <c r="D589" s="315"/>
      <c r="E589" s="321"/>
      <c r="F589" s="322"/>
      <c r="G589" s="315"/>
    </row>
    <row r="590" spans="1:7" s="32" customFormat="1" x14ac:dyDescent="0.25">
      <c r="A590" s="315"/>
      <c r="B590" s="315"/>
      <c r="C590" s="326"/>
      <c r="D590" s="315"/>
      <c r="E590" s="321"/>
      <c r="F590" s="322"/>
      <c r="G590" s="315"/>
    </row>
    <row r="591" spans="1:7" s="32" customFormat="1" x14ac:dyDescent="0.25">
      <c r="A591" s="315"/>
      <c r="B591" s="315"/>
      <c r="C591" s="326"/>
      <c r="D591" s="315"/>
      <c r="E591" s="321"/>
      <c r="F591" s="322"/>
      <c r="G591" s="315"/>
    </row>
    <row r="592" spans="1:7" s="32" customFormat="1" x14ac:dyDescent="0.25">
      <c r="A592" s="315"/>
      <c r="B592" s="315"/>
      <c r="C592" s="326"/>
      <c r="D592" s="315"/>
      <c r="E592" s="321"/>
      <c r="F592" s="322"/>
      <c r="G592" s="315"/>
    </row>
    <row r="593" spans="1:7" s="32" customFormat="1" x14ac:dyDescent="0.25">
      <c r="A593" s="315"/>
      <c r="B593" s="315"/>
      <c r="C593" s="326"/>
      <c r="D593" s="315"/>
      <c r="E593" s="321"/>
      <c r="F593" s="322"/>
      <c r="G593" s="315"/>
    </row>
    <row r="594" spans="1:7" s="32" customFormat="1" x14ac:dyDescent="0.25">
      <c r="A594" s="315"/>
      <c r="B594" s="315"/>
      <c r="C594" s="326"/>
      <c r="D594" s="315"/>
      <c r="E594" s="321"/>
      <c r="F594" s="322"/>
      <c r="G594" s="315"/>
    </row>
    <row r="595" spans="1:7" s="32" customFormat="1" x14ac:dyDescent="0.25">
      <c r="A595" s="315"/>
      <c r="B595" s="315"/>
      <c r="C595" s="326"/>
      <c r="D595" s="315"/>
      <c r="E595" s="321"/>
      <c r="F595" s="322"/>
      <c r="G595" s="315"/>
    </row>
    <row r="596" spans="1:7" s="32" customFormat="1" x14ac:dyDescent="0.25">
      <c r="A596" s="315"/>
      <c r="B596" s="315"/>
      <c r="C596" s="326"/>
      <c r="D596" s="315"/>
      <c r="E596" s="321"/>
      <c r="F596" s="322"/>
      <c r="G596" s="315"/>
    </row>
    <row r="597" spans="1:7" s="32" customFormat="1" x14ac:dyDescent="0.25">
      <c r="A597" s="315"/>
      <c r="B597" s="315"/>
      <c r="C597" s="326"/>
      <c r="D597" s="315"/>
      <c r="E597" s="321"/>
      <c r="F597" s="322"/>
      <c r="G597" s="315"/>
    </row>
    <row r="598" spans="1:7" s="32" customFormat="1" x14ac:dyDescent="0.25">
      <c r="A598" s="315"/>
      <c r="B598" s="315"/>
      <c r="C598" s="326"/>
      <c r="D598" s="315"/>
      <c r="E598" s="321"/>
      <c r="F598" s="322"/>
      <c r="G598" s="315"/>
    </row>
    <row r="599" spans="1:7" s="32" customFormat="1" x14ac:dyDescent="0.25">
      <c r="A599" s="315"/>
      <c r="B599" s="315"/>
      <c r="C599" s="326"/>
      <c r="D599" s="315"/>
      <c r="E599" s="321"/>
      <c r="F599" s="322"/>
      <c r="G599" s="315"/>
    </row>
    <row r="600" spans="1:7" s="32" customFormat="1" x14ac:dyDescent="0.25">
      <c r="A600" s="315"/>
      <c r="B600" s="315"/>
      <c r="C600" s="326"/>
      <c r="D600" s="315"/>
      <c r="E600" s="321"/>
      <c r="F600" s="322"/>
      <c r="G600" s="315"/>
    </row>
    <row r="601" spans="1:7" s="32" customFormat="1" x14ac:dyDescent="0.25">
      <c r="A601" s="315"/>
      <c r="B601" s="315"/>
      <c r="C601" s="326"/>
      <c r="D601" s="315"/>
      <c r="E601" s="321"/>
      <c r="F601" s="322"/>
      <c r="G601" s="315"/>
    </row>
    <row r="602" spans="1:7" s="32" customFormat="1" x14ac:dyDescent="0.25">
      <c r="A602" s="315"/>
      <c r="B602" s="315"/>
      <c r="C602" s="326"/>
      <c r="D602" s="315"/>
      <c r="E602" s="321"/>
      <c r="F602" s="322"/>
      <c r="G602" s="315"/>
    </row>
    <row r="603" spans="1:7" s="32" customFormat="1" x14ac:dyDescent="0.25">
      <c r="A603" s="315"/>
      <c r="B603" s="315"/>
      <c r="C603" s="326"/>
      <c r="D603" s="315"/>
      <c r="E603" s="321"/>
      <c r="F603" s="322"/>
      <c r="G603" s="315"/>
    </row>
    <row r="604" spans="1:7" s="32" customFormat="1" x14ac:dyDescent="0.25">
      <c r="A604" s="315"/>
      <c r="B604" s="315"/>
      <c r="C604" s="326"/>
      <c r="D604" s="315"/>
      <c r="E604" s="321"/>
      <c r="F604" s="322"/>
      <c r="G604" s="315"/>
    </row>
    <row r="605" spans="1:7" s="32" customFormat="1" x14ac:dyDescent="0.25">
      <c r="A605" s="315"/>
      <c r="B605" s="315"/>
      <c r="C605" s="326"/>
      <c r="D605" s="315"/>
      <c r="E605" s="321"/>
      <c r="F605" s="322"/>
      <c r="G605" s="315"/>
    </row>
    <row r="606" spans="1:7" s="32" customFormat="1" x14ac:dyDescent="0.25">
      <c r="A606" s="315"/>
      <c r="B606" s="315"/>
      <c r="C606" s="326"/>
      <c r="D606" s="315"/>
      <c r="E606" s="321"/>
      <c r="F606" s="322"/>
      <c r="G606" s="315"/>
    </row>
    <row r="607" spans="1:7" s="32" customFormat="1" x14ac:dyDescent="0.25">
      <c r="A607" s="315"/>
      <c r="B607" s="315"/>
      <c r="C607" s="326"/>
      <c r="D607" s="315"/>
      <c r="E607" s="321"/>
      <c r="F607" s="322"/>
      <c r="G607" s="315"/>
    </row>
    <row r="608" spans="1:7" s="32" customFormat="1" x14ac:dyDescent="0.25">
      <c r="A608" s="315"/>
      <c r="B608" s="315"/>
      <c r="C608" s="326"/>
      <c r="D608" s="315"/>
      <c r="E608" s="321"/>
      <c r="F608" s="322"/>
      <c r="G608" s="315"/>
    </row>
    <row r="609" spans="1:7" s="32" customFormat="1" x14ac:dyDescent="0.25">
      <c r="A609" s="315"/>
      <c r="B609" s="315"/>
      <c r="C609" s="326"/>
      <c r="D609" s="315"/>
      <c r="E609" s="321"/>
      <c r="F609" s="322"/>
      <c r="G609" s="315"/>
    </row>
    <row r="610" spans="1:7" s="32" customFormat="1" x14ac:dyDescent="0.25">
      <c r="A610" s="315"/>
      <c r="B610" s="315"/>
      <c r="C610" s="326"/>
      <c r="D610" s="315"/>
      <c r="E610" s="321"/>
      <c r="F610" s="322"/>
      <c r="G610" s="315"/>
    </row>
    <row r="611" spans="1:7" s="32" customFormat="1" x14ac:dyDescent="0.25">
      <c r="A611" s="315"/>
      <c r="B611" s="315"/>
      <c r="C611" s="326"/>
      <c r="D611" s="315"/>
      <c r="E611" s="321"/>
      <c r="F611" s="322"/>
      <c r="G611" s="315"/>
    </row>
    <row r="612" spans="1:7" s="32" customFormat="1" x14ac:dyDescent="0.25">
      <c r="A612" s="315"/>
      <c r="B612" s="315"/>
      <c r="C612" s="326"/>
      <c r="D612" s="315"/>
      <c r="E612" s="321"/>
      <c r="F612" s="322"/>
      <c r="G612" s="315"/>
    </row>
    <row r="613" spans="1:7" s="32" customFormat="1" x14ac:dyDescent="0.25">
      <c r="A613" s="315"/>
      <c r="B613" s="315"/>
      <c r="C613" s="326"/>
      <c r="D613" s="315"/>
      <c r="E613" s="321"/>
      <c r="F613" s="322"/>
      <c r="G613" s="315"/>
    </row>
    <row r="614" spans="1:7" s="32" customFormat="1" x14ac:dyDescent="0.25">
      <c r="A614" s="315"/>
      <c r="B614" s="315"/>
      <c r="C614" s="326"/>
      <c r="D614" s="315"/>
      <c r="E614" s="321"/>
      <c r="F614" s="322"/>
      <c r="G614" s="315"/>
    </row>
    <row r="615" spans="1:7" s="32" customFormat="1" x14ac:dyDescent="0.25">
      <c r="A615" s="315"/>
      <c r="B615" s="315"/>
      <c r="C615" s="326"/>
      <c r="D615" s="315"/>
      <c r="E615" s="321"/>
      <c r="F615" s="322"/>
      <c r="G615" s="315"/>
    </row>
    <row r="616" spans="1:7" s="32" customFormat="1" x14ac:dyDescent="0.25">
      <c r="A616" s="315"/>
      <c r="B616" s="315"/>
      <c r="C616" s="326"/>
      <c r="D616" s="315"/>
      <c r="E616" s="321"/>
      <c r="F616" s="322"/>
      <c r="G616" s="315"/>
    </row>
    <row r="617" spans="1:7" s="32" customFormat="1" x14ac:dyDescent="0.25">
      <c r="A617" s="315"/>
      <c r="B617" s="315"/>
      <c r="C617" s="326"/>
      <c r="D617" s="315"/>
      <c r="E617" s="321"/>
      <c r="F617" s="322"/>
      <c r="G617" s="315"/>
    </row>
    <row r="618" spans="1:7" s="32" customFormat="1" x14ac:dyDescent="0.25">
      <c r="A618" s="315"/>
      <c r="B618" s="315"/>
      <c r="C618" s="326"/>
      <c r="D618" s="315"/>
      <c r="E618" s="321"/>
      <c r="F618" s="322"/>
      <c r="G618" s="315"/>
    </row>
    <row r="619" spans="1:7" s="32" customFormat="1" x14ac:dyDescent="0.25">
      <c r="A619" s="315"/>
      <c r="B619" s="315"/>
      <c r="C619" s="326"/>
      <c r="D619" s="315"/>
      <c r="E619" s="321"/>
      <c r="F619" s="322"/>
      <c r="G619" s="315"/>
    </row>
    <row r="620" spans="1:7" s="32" customFormat="1" x14ac:dyDescent="0.25">
      <c r="A620" s="315"/>
      <c r="B620" s="315"/>
      <c r="C620" s="326"/>
      <c r="D620" s="315"/>
      <c r="E620" s="321"/>
      <c r="F620" s="322"/>
      <c r="G620" s="315"/>
    </row>
    <row r="621" spans="1:7" s="32" customFormat="1" x14ac:dyDescent="0.25">
      <c r="A621" s="315"/>
      <c r="B621" s="315"/>
      <c r="C621" s="326"/>
      <c r="D621" s="315"/>
      <c r="E621" s="321"/>
      <c r="F621" s="322"/>
      <c r="G621" s="315"/>
    </row>
    <row r="622" spans="1:7" s="32" customFormat="1" x14ac:dyDescent="0.25">
      <c r="A622" s="315"/>
      <c r="B622" s="315"/>
      <c r="C622" s="326"/>
      <c r="D622" s="315"/>
      <c r="E622" s="321"/>
      <c r="F622" s="322"/>
      <c r="G622" s="315"/>
    </row>
    <row r="623" spans="1:7" s="32" customFormat="1" x14ac:dyDescent="0.25">
      <c r="A623" s="315"/>
      <c r="B623" s="315"/>
      <c r="C623" s="326"/>
      <c r="D623" s="315"/>
      <c r="E623" s="321"/>
      <c r="F623" s="322"/>
      <c r="G623" s="315"/>
    </row>
    <row r="624" spans="1:7" s="32" customFormat="1" x14ac:dyDescent="0.25">
      <c r="A624" s="315"/>
      <c r="B624" s="315"/>
      <c r="C624" s="326"/>
      <c r="D624" s="315"/>
      <c r="E624" s="321"/>
      <c r="F624" s="322"/>
      <c r="G624" s="315"/>
    </row>
    <row r="625" spans="1:7" s="32" customFormat="1" x14ac:dyDescent="0.25">
      <c r="A625" s="315"/>
      <c r="B625" s="315"/>
      <c r="C625" s="326"/>
      <c r="D625" s="315"/>
      <c r="E625" s="321"/>
      <c r="F625" s="322"/>
      <c r="G625" s="315"/>
    </row>
    <row r="626" spans="1:7" s="32" customFormat="1" x14ac:dyDescent="0.25">
      <c r="A626" s="315"/>
      <c r="B626" s="315"/>
      <c r="C626" s="326"/>
      <c r="D626" s="315"/>
      <c r="E626" s="321"/>
      <c r="F626" s="322"/>
      <c r="G626" s="315"/>
    </row>
    <row r="627" spans="1:7" s="32" customFormat="1" x14ac:dyDescent="0.25">
      <c r="A627" s="315"/>
      <c r="B627" s="315"/>
      <c r="C627" s="326"/>
      <c r="D627" s="315"/>
      <c r="E627" s="321"/>
      <c r="F627" s="322"/>
      <c r="G627" s="315"/>
    </row>
    <row r="628" spans="1:7" s="32" customFormat="1" x14ac:dyDescent="0.25">
      <c r="A628" s="315"/>
      <c r="B628" s="315"/>
      <c r="C628" s="326"/>
      <c r="D628" s="315"/>
      <c r="E628" s="321"/>
      <c r="F628" s="322"/>
      <c r="G628" s="315"/>
    </row>
    <row r="629" spans="1:7" s="32" customFormat="1" x14ac:dyDescent="0.25">
      <c r="A629" s="315"/>
      <c r="B629" s="315"/>
      <c r="C629" s="326"/>
      <c r="D629" s="315"/>
      <c r="E629" s="321"/>
      <c r="F629" s="322"/>
      <c r="G629" s="315"/>
    </row>
    <row r="630" spans="1:7" s="32" customFormat="1" x14ac:dyDescent="0.25">
      <c r="A630" s="315"/>
      <c r="B630" s="315"/>
      <c r="C630" s="326"/>
      <c r="D630" s="315"/>
      <c r="E630" s="321"/>
      <c r="F630" s="322"/>
      <c r="G630" s="315"/>
    </row>
    <row r="631" spans="1:7" s="32" customFormat="1" x14ac:dyDescent="0.25">
      <c r="A631" s="315"/>
      <c r="B631" s="315"/>
      <c r="C631" s="326"/>
      <c r="D631" s="315"/>
      <c r="E631" s="321"/>
      <c r="F631" s="322"/>
      <c r="G631" s="315"/>
    </row>
    <row r="632" spans="1:7" s="32" customFormat="1" x14ac:dyDescent="0.25">
      <c r="A632" s="315"/>
      <c r="B632" s="315"/>
      <c r="C632" s="326"/>
      <c r="D632" s="315"/>
      <c r="E632" s="321"/>
      <c r="F632" s="322"/>
      <c r="G632" s="315"/>
    </row>
    <row r="633" spans="1:7" s="32" customFormat="1" x14ac:dyDescent="0.25">
      <c r="A633" s="315"/>
      <c r="B633" s="315"/>
      <c r="C633" s="326"/>
      <c r="D633" s="315"/>
      <c r="E633" s="321"/>
      <c r="F633" s="322"/>
      <c r="G633" s="315"/>
    </row>
    <row r="634" spans="1:7" s="32" customFormat="1" x14ac:dyDescent="0.25">
      <c r="A634" s="315"/>
      <c r="B634" s="315"/>
      <c r="C634" s="326"/>
      <c r="D634" s="315"/>
      <c r="E634" s="321"/>
      <c r="F634" s="322"/>
      <c r="G634" s="315"/>
    </row>
    <row r="635" spans="1:7" s="32" customFormat="1" x14ac:dyDescent="0.25">
      <c r="A635" s="315"/>
      <c r="B635" s="315"/>
      <c r="C635" s="326"/>
      <c r="D635" s="315"/>
      <c r="E635" s="321"/>
      <c r="F635" s="322"/>
      <c r="G635" s="315"/>
    </row>
    <row r="636" spans="1:7" s="32" customFormat="1" x14ac:dyDescent="0.25">
      <c r="A636" s="315"/>
      <c r="B636" s="315"/>
      <c r="C636" s="326"/>
      <c r="D636" s="315"/>
      <c r="E636" s="321"/>
      <c r="F636" s="322"/>
      <c r="G636" s="315"/>
    </row>
    <row r="637" spans="1:7" s="32" customFormat="1" x14ac:dyDescent="0.25">
      <c r="A637" s="315"/>
      <c r="B637" s="315"/>
      <c r="C637" s="326"/>
      <c r="D637" s="315"/>
      <c r="E637" s="321"/>
      <c r="F637" s="322"/>
      <c r="G637" s="315"/>
    </row>
    <row r="638" spans="1:7" s="32" customFormat="1" x14ac:dyDescent="0.25">
      <c r="A638" s="315"/>
      <c r="B638" s="315"/>
      <c r="C638" s="326"/>
      <c r="D638" s="315"/>
      <c r="E638" s="321"/>
      <c r="F638" s="322"/>
      <c r="G638" s="315"/>
    </row>
    <row r="639" spans="1:7" s="32" customFormat="1" x14ac:dyDescent="0.25">
      <c r="A639" s="315"/>
      <c r="B639" s="315"/>
      <c r="C639" s="326"/>
      <c r="D639" s="315"/>
      <c r="E639" s="321"/>
      <c r="F639" s="322"/>
      <c r="G639" s="315"/>
    </row>
    <row r="640" spans="1:7" s="32" customFormat="1" x14ac:dyDescent="0.25">
      <c r="A640" s="315"/>
      <c r="B640" s="315"/>
      <c r="C640" s="326"/>
      <c r="D640" s="315"/>
      <c r="E640" s="321"/>
      <c r="F640" s="322"/>
      <c r="G640" s="315"/>
    </row>
    <row r="641" spans="1:7" s="32" customFormat="1" x14ac:dyDescent="0.25">
      <c r="A641" s="315"/>
      <c r="B641" s="315"/>
      <c r="C641" s="326"/>
      <c r="D641" s="315"/>
      <c r="E641" s="321"/>
      <c r="F641" s="322"/>
      <c r="G641" s="315"/>
    </row>
    <row r="642" spans="1:7" s="32" customFormat="1" x14ac:dyDescent="0.25">
      <c r="A642" s="315"/>
      <c r="B642" s="315"/>
      <c r="C642" s="326"/>
      <c r="D642" s="315"/>
      <c r="E642" s="321"/>
      <c r="F642" s="322"/>
      <c r="G642" s="315"/>
    </row>
    <row r="643" spans="1:7" s="32" customFormat="1" x14ac:dyDescent="0.25">
      <c r="A643" s="315"/>
      <c r="B643" s="315"/>
      <c r="C643" s="326"/>
      <c r="D643" s="315"/>
      <c r="E643" s="321"/>
      <c r="F643" s="322"/>
      <c r="G643" s="315"/>
    </row>
    <row r="644" spans="1:7" s="32" customFormat="1" x14ac:dyDescent="0.25">
      <c r="A644" s="315"/>
      <c r="B644" s="315"/>
      <c r="C644" s="326"/>
      <c r="D644" s="315"/>
      <c r="E644" s="321"/>
      <c r="F644" s="322"/>
      <c r="G644" s="315"/>
    </row>
    <row r="645" spans="1:7" s="32" customFormat="1" x14ac:dyDescent="0.25">
      <c r="A645" s="315"/>
      <c r="B645" s="315"/>
      <c r="C645" s="326"/>
      <c r="D645" s="315"/>
      <c r="E645" s="321"/>
      <c r="F645" s="322"/>
      <c r="G645" s="315"/>
    </row>
    <row r="646" spans="1:7" s="32" customFormat="1" x14ac:dyDescent="0.25">
      <c r="A646" s="315"/>
      <c r="B646" s="315"/>
      <c r="C646" s="326"/>
      <c r="D646" s="315"/>
      <c r="E646" s="321"/>
      <c r="F646" s="322"/>
      <c r="G646" s="315"/>
    </row>
    <row r="647" spans="1:7" s="32" customFormat="1" x14ac:dyDescent="0.25">
      <c r="A647" s="315"/>
      <c r="B647" s="315"/>
      <c r="C647" s="326"/>
      <c r="D647" s="315"/>
      <c r="E647" s="321"/>
      <c r="F647" s="322"/>
      <c r="G647" s="315"/>
    </row>
    <row r="648" spans="1:7" s="32" customFormat="1" x14ac:dyDescent="0.25">
      <c r="A648" s="315"/>
      <c r="B648" s="315"/>
      <c r="C648" s="326"/>
      <c r="D648" s="315"/>
      <c r="E648" s="321"/>
      <c r="F648" s="322"/>
      <c r="G648" s="315"/>
    </row>
    <row r="649" spans="1:7" s="32" customFormat="1" x14ac:dyDescent="0.25">
      <c r="A649" s="315"/>
      <c r="B649" s="315"/>
      <c r="C649" s="326"/>
      <c r="D649" s="315"/>
      <c r="E649" s="321"/>
      <c r="F649" s="322"/>
      <c r="G649" s="315"/>
    </row>
    <row r="650" spans="1:7" s="32" customFormat="1" x14ac:dyDescent="0.25">
      <c r="A650" s="315"/>
      <c r="B650" s="315"/>
      <c r="C650" s="326"/>
      <c r="D650" s="315"/>
      <c r="E650" s="321"/>
      <c r="F650" s="322"/>
      <c r="G650" s="315"/>
    </row>
    <row r="651" spans="1:7" s="32" customFormat="1" x14ac:dyDescent="0.25">
      <c r="A651" s="315"/>
      <c r="B651" s="315"/>
      <c r="C651" s="326"/>
      <c r="D651" s="315"/>
      <c r="E651" s="321"/>
      <c r="F651" s="322"/>
      <c r="G651" s="315"/>
    </row>
    <row r="652" spans="1:7" s="32" customFormat="1" x14ac:dyDescent="0.25">
      <c r="A652" s="315"/>
      <c r="B652" s="315"/>
      <c r="C652" s="326"/>
      <c r="D652" s="315"/>
      <c r="E652" s="321"/>
      <c r="F652" s="322"/>
      <c r="G652" s="315"/>
    </row>
    <row r="653" spans="1:7" s="32" customFormat="1" x14ac:dyDescent="0.25">
      <c r="A653" s="315"/>
      <c r="B653" s="315"/>
      <c r="C653" s="326"/>
      <c r="D653" s="315"/>
      <c r="E653" s="321"/>
      <c r="F653" s="322"/>
      <c r="G653" s="315"/>
    </row>
    <row r="654" spans="1:7" s="32" customFormat="1" x14ac:dyDescent="0.25">
      <c r="A654" s="315"/>
      <c r="B654" s="315"/>
      <c r="C654" s="326"/>
      <c r="D654" s="315"/>
      <c r="E654" s="321"/>
      <c r="F654" s="322"/>
      <c r="G654" s="315"/>
    </row>
    <row r="655" spans="1:7" s="32" customFormat="1" x14ac:dyDescent="0.25">
      <c r="A655" s="315"/>
      <c r="B655" s="315"/>
      <c r="C655" s="326"/>
      <c r="D655" s="315"/>
      <c r="E655" s="321"/>
      <c r="F655" s="322"/>
      <c r="G655" s="315"/>
    </row>
    <row r="656" spans="1:7" s="32" customFormat="1" x14ac:dyDescent="0.25">
      <c r="A656" s="315"/>
      <c r="B656" s="315"/>
      <c r="C656" s="326"/>
      <c r="D656" s="315"/>
      <c r="E656" s="321"/>
      <c r="F656" s="322"/>
      <c r="G656" s="315"/>
    </row>
    <row r="657" spans="1:7" s="32" customFormat="1" x14ac:dyDescent="0.25">
      <c r="A657" s="315"/>
      <c r="B657" s="315"/>
      <c r="C657" s="326"/>
      <c r="D657" s="315"/>
      <c r="E657" s="321"/>
      <c r="F657" s="322"/>
      <c r="G657" s="315"/>
    </row>
    <row r="658" spans="1:7" s="32" customFormat="1" x14ac:dyDescent="0.25">
      <c r="A658" s="315"/>
      <c r="B658" s="315"/>
      <c r="C658" s="326"/>
      <c r="D658" s="315"/>
      <c r="E658" s="321"/>
      <c r="F658" s="322"/>
      <c r="G658" s="315"/>
    </row>
    <row r="659" spans="1:7" s="32" customFormat="1" x14ac:dyDescent="0.25">
      <c r="A659" s="315"/>
      <c r="B659" s="315"/>
      <c r="C659" s="326"/>
      <c r="D659" s="315"/>
      <c r="E659" s="321"/>
      <c r="F659" s="322"/>
      <c r="G659" s="315"/>
    </row>
    <row r="660" spans="1:7" s="32" customFormat="1" x14ac:dyDescent="0.25">
      <c r="A660" s="315"/>
      <c r="B660" s="315"/>
      <c r="C660" s="326"/>
      <c r="D660" s="315"/>
      <c r="E660" s="321"/>
      <c r="F660" s="322"/>
      <c r="G660" s="315"/>
    </row>
    <row r="661" spans="1:7" s="32" customFormat="1" x14ac:dyDescent="0.25">
      <c r="A661" s="315"/>
      <c r="B661" s="315"/>
      <c r="C661" s="326"/>
      <c r="D661" s="315"/>
      <c r="E661" s="321"/>
      <c r="F661" s="322"/>
      <c r="G661" s="315"/>
    </row>
    <row r="662" spans="1:7" s="32" customFormat="1" x14ac:dyDescent="0.25">
      <c r="A662" s="315"/>
      <c r="B662" s="315"/>
      <c r="C662" s="326"/>
      <c r="D662" s="315"/>
      <c r="E662" s="321"/>
      <c r="F662" s="322"/>
      <c r="G662" s="315"/>
    </row>
    <row r="663" spans="1:7" s="32" customFormat="1" x14ac:dyDescent="0.25">
      <c r="A663" s="315"/>
      <c r="B663" s="315"/>
      <c r="C663" s="326"/>
      <c r="D663" s="315"/>
      <c r="E663" s="321"/>
      <c r="F663" s="322"/>
      <c r="G663" s="315"/>
    </row>
    <row r="664" spans="1:7" s="32" customFormat="1" x14ac:dyDescent="0.25">
      <c r="A664" s="315"/>
      <c r="B664" s="315"/>
      <c r="C664" s="326"/>
      <c r="D664" s="315"/>
      <c r="E664" s="321"/>
      <c r="F664" s="322"/>
      <c r="G664" s="315"/>
    </row>
    <row r="665" spans="1:7" s="32" customFormat="1" x14ac:dyDescent="0.25">
      <c r="A665" s="315"/>
      <c r="B665" s="315"/>
      <c r="C665" s="326"/>
      <c r="D665" s="315"/>
      <c r="E665" s="321"/>
      <c r="F665" s="322"/>
      <c r="G665" s="315"/>
    </row>
    <row r="666" spans="1:7" s="32" customFormat="1" x14ac:dyDescent="0.25">
      <c r="A666" s="315"/>
      <c r="B666" s="315"/>
      <c r="C666" s="326"/>
      <c r="D666" s="315"/>
      <c r="E666" s="321"/>
      <c r="F666" s="322"/>
      <c r="G666" s="315"/>
    </row>
    <row r="667" spans="1:7" s="32" customFormat="1" x14ac:dyDescent="0.25">
      <c r="A667" s="315"/>
      <c r="B667" s="315"/>
      <c r="C667" s="326"/>
      <c r="D667" s="315"/>
      <c r="E667" s="321"/>
      <c r="F667" s="322"/>
      <c r="G667" s="315"/>
    </row>
    <row r="668" spans="1:7" s="32" customFormat="1" x14ac:dyDescent="0.25">
      <c r="A668" s="315"/>
      <c r="B668" s="315"/>
      <c r="C668" s="326"/>
      <c r="D668" s="315"/>
      <c r="E668" s="321"/>
      <c r="F668" s="322"/>
      <c r="G668" s="315"/>
    </row>
    <row r="669" spans="1:7" s="32" customFormat="1" x14ac:dyDescent="0.25">
      <c r="A669" s="315"/>
      <c r="B669" s="315"/>
      <c r="C669" s="326"/>
      <c r="D669" s="315"/>
      <c r="E669" s="321"/>
      <c r="F669" s="322"/>
      <c r="G669" s="315"/>
    </row>
    <row r="670" spans="1:7" s="32" customFormat="1" x14ac:dyDescent="0.25">
      <c r="A670" s="315"/>
      <c r="B670" s="315"/>
      <c r="C670" s="326"/>
      <c r="D670" s="315"/>
      <c r="E670" s="321"/>
      <c r="F670" s="322"/>
      <c r="G670" s="315"/>
    </row>
    <row r="671" spans="1:7" s="32" customFormat="1" x14ac:dyDescent="0.25">
      <c r="A671" s="315"/>
      <c r="B671" s="315"/>
      <c r="C671" s="326"/>
      <c r="D671" s="315"/>
      <c r="E671" s="321"/>
      <c r="F671" s="322"/>
      <c r="G671" s="315"/>
    </row>
    <row r="672" spans="1:7" s="32" customFormat="1" x14ac:dyDescent="0.25">
      <c r="A672" s="315"/>
      <c r="B672" s="315"/>
      <c r="C672" s="326"/>
      <c r="D672" s="315"/>
      <c r="E672" s="321"/>
      <c r="F672" s="322"/>
      <c r="G672" s="315"/>
    </row>
    <row r="673" spans="1:7" s="32" customFormat="1" x14ac:dyDescent="0.25">
      <c r="A673" s="315"/>
      <c r="B673" s="315"/>
      <c r="C673" s="326"/>
      <c r="D673" s="315"/>
      <c r="E673" s="321"/>
      <c r="F673" s="322"/>
      <c r="G673" s="315"/>
    </row>
    <row r="674" spans="1:7" s="32" customFormat="1" x14ac:dyDescent="0.25">
      <c r="A674" s="315"/>
      <c r="B674" s="315"/>
      <c r="C674" s="326"/>
      <c r="D674" s="315"/>
      <c r="E674" s="321"/>
      <c r="F674" s="322"/>
      <c r="G674" s="315"/>
    </row>
    <row r="675" spans="1:7" s="32" customFormat="1" x14ac:dyDescent="0.25">
      <c r="A675" s="315"/>
      <c r="B675" s="315"/>
      <c r="C675" s="326"/>
      <c r="D675" s="315"/>
      <c r="E675" s="321"/>
      <c r="F675" s="322"/>
      <c r="G675" s="315"/>
    </row>
    <row r="676" spans="1:7" s="32" customFormat="1" x14ac:dyDescent="0.25">
      <c r="A676" s="315"/>
      <c r="B676" s="315"/>
      <c r="C676" s="326"/>
      <c r="D676" s="315"/>
      <c r="E676" s="321"/>
      <c r="F676" s="322"/>
      <c r="G676" s="315"/>
    </row>
    <row r="677" spans="1:7" s="32" customFormat="1" x14ac:dyDescent="0.25">
      <c r="A677" s="315"/>
      <c r="B677" s="315"/>
      <c r="C677" s="326"/>
      <c r="D677" s="315"/>
      <c r="E677" s="321"/>
      <c r="F677" s="322"/>
      <c r="G677" s="315"/>
    </row>
    <row r="678" spans="1:7" s="32" customFormat="1" x14ac:dyDescent="0.25">
      <c r="A678" s="315"/>
      <c r="B678" s="315"/>
      <c r="C678" s="326"/>
      <c r="D678" s="315"/>
      <c r="E678" s="321"/>
      <c r="F678" s="322"/>
      <c r="G678" s="315"/>
    </row>
    <row r="679" spans="1:7" s="32" customFormat="1" x14ac:dyDescent="0.25">
      <c r="A679" s="315"/>
      <c r="B679" s="315"/>
      <c r="C679" s="326"/>
      <c r="D679" s="315"/>
      <c r="E679" s="321"/>
      <c r="F679" s="322"/>
      <c r="G679" s="315"/>
    </row>
    <row r="680" spans="1:7" s="32" customFormat="1" x14ac:dyDescent="0.25">
      <c r="A680" s="315"/>
      <c r="B680" s="315"/>
      <c r="C680" s="326"/>
      <c r="D680" s="315"/>
      <c r="E680" s="321"/>
      <c r="F680" s="322"/>
      <c r="G680" s="315"/>
    </row>
    <row r="681" spans="1:7" s="32" customFormat="1" x14ac:dyDescent="0.25">
      <c r="A681" s="315"/>
      <c r="B681" s="315"/>
      <c r="C681" s="326"/>
      <c r="D681" s="315"/>
      <c r="E681" s="321"/>
      <c r="F681" s="322"/>
      <c r="G681" s="315"/>
    </row>
    <row r="682" spans="1:7" s="32" customFormat="1" x14ac:dyDescent="0.25">
      <c r="A682" s="315"/>
      <c r="B682" s="315"/>
      <c r="C682" s="326"/>
      <c r="D682" s="315"/>
      <c r="E682" s="321"/>
      <c r="F682" s="322"/>
      <c r="G682" s="315"/>
    </row>
    <row r="683" spans="1:7" s="32" customFormat="1" x14ac:dyDescent="0.25">
      <c r="A683" s="315"/>
      <c r="B683" s="315"/>
      <c r="C683" s="326"/>
      <c r="D683" s="315"/>
      <c r="E683" s="321"/>
      <c r="F683" s="322"/>
      <c r="G683" s="315"/>
    </row>
    <row r="684" spans="1:7" s="32" customFormat="1" x14ac:dyDescent="0.25">
      <c r="A684" s="315"/>
      <c r="B684" s="315"/>
      <c r="C684" s="326"/>
      <c r="D684" s="315"/>
      <c r="E684" s="321"/>
      <c r="F684" s="322"/>
      <c r="G684" s="315"/>
    </row>
    <row r="685" spans="1:7" s="32" customFormat="1" x14ac:dyDescent="0.25">
      <c r="A685" s="315"/>
      <c r="B685" s="315"/>
      <c r="C685" s="326"/>
      <c r="D685" s="315"/>
      <c r="E685" s="321"/>
      <c r="F685" s="322"/>
      <c r="G685" s="315"/>
    </row>
    <row r="686" spans="1:7" s="32" customFormat="1" x14ac:dyDescent="0.25">
      <c r="A686" s="315"/>
      <c r="B686" s="315"/>
      <c r="C686" s="326"/>
      <c r="D686" s="315"/>
      <c r="E686" s="321"/>
      <c r="F686" s="322"/>
      <c r="G686" s="315"/>
    </row>
    <row r="687" spans="1:7" s="32" customFormat="1" x14ac:dyDescent="0.25">
      <c r="A687" s="315"/>
      <c r="B687" s="315"/>
      <c r="C687" s="326"/>
      <c r="D687" s="315"/>
      <c r="E687" s="321"/>
      <c r="F687" s="322"/>
      <c r="G687" s="315"/>
    </row>
    <row r="688" spans="1:7" s="32" customFormat="1" x14ac:dyDescent="0.25">
      <c r="A688" s="315"/>
      <c r="B688" s="315"/>
      <c r="C688" s="326"/>
      <c r="D688" s="315"/>
      <c r="E688" s="321"/>
      <c r="F688" s="322"/>
      <c r="G688" s="315"/>
    </row>
    <row r="689" spans="1:7" s="32" customFormat="1" x14ac:dyDescent="0.25">
      <c r="A689" s="315"/>
      <c r="B689" s="315"/>
      <c r="C689" s="326"/>
      <c r="D689" s="315"/>
      <c r="E689" s="321"/>
      <c r="F689" s="322"/>
      <c r="G689" s="315"/>
    </row>
    <row r="690" spans="1:7" s="32" customFormat="1" x14ac:dyDescent="0.25">
      <c r="A690" s="315"/>
      <c r="B690" s="315"/>
      <c r="C690" s="326"/>
      <c r="D690" s="315"/>
      <c r="E690" s="321"/>
      <c r="F690" s="322"/>
      <c r="G690" s="315"/>
    </row>
    <row r="691" spans="1:7" s="32" customFormat="1" x14ac:dyDescent="0.25">
      <c r="A691" s="315"/>
      <c r="B691" s="315"/>
      <c r="C691" s="326"/>
      <c r="D691" s="315"/>
      <c r="E691" s="321"/>
      <c r="F691" s="322"/>
      <c r="G691" s="315"/>
    </row>
    <row r="692" spans="1:7" s="32" customFormat="1" x14ac:dyDescent="0.25">
      <c r="A692" s="315"/>
      <c r="B692" s="315"/>
      <c r="C692" s="326"/>
      <c r="D692" s="315"/>
      <c r="E692" s="321"/>
      <c r="F692" s="322"/>
      <c r="G692" s="315"/>
    </row>
    <row r="693" spans="1:7" s="32" customFormat="1" x14ac:dyDescent="0.25">
      <c r="A693" s="315"/>
      <c r="B693" s="315"/>
      <c r="C693" s="326"/>
      <c r="D693" s="315"/>
      <c r="E693" s="321"/>
      <c r="F693" s="322"/>
      <c r="G693" s="315"/>
    </row>
    <row r="694" spans="1:7" s="32" customFormat="1" x14ac:dyDescent="0.25">
      <c r="A694" s="315"/>
      <c r="B694" s="315"/>
      <c r="C694" s="326"/>
      <c r="D694" s="315"/>
      <c r="E694" s="321"/>
      <c r="F694" s="322"/>
      <c r="G694" s="315"/>
    </row>
    <row r="695" spans="1:7" s="32" customFormat="1" x14ac:dyDescent="0.25">
      <c r="A695" s="315"/>
      <c r="B695" s="315"/>
      <c r="C695" s="326"/>
      <c r="D695" s="315"/>
      <c r="E695" s="321"/>
      <c r="F695" s="322"/>
      <c r="G695" s="315"/>
    </row>
    <row r="696" spans="1:7" s="32" customFormat="1" x14ac:dyDescent="0.25">
      <c r="A696" s="315"/>
      <c r="B696" s="315"/>
      <c r="C696" s="326"/>
      <c r="D696" s="315"/>
      <c r="E696" s="321"/>
      <c r="F696" s="322"/>
      <c r="G696" s="315"/>
    </row>
    <row r="697" spans="1:7" s="32" customFormat="1" x14ac:dyDescent="0.25">
      <c r="A697" s="315"/>
      <c r="B697" s="315"/>
      <c r="C697" s="326"/>
      <c r="D697" s="315"/>
      <c r="E697" s="321"/>
      <c r="F697" s="322"/>
      <c r="G697" s="315"/>
    </row>
    <row r="698" spans="1:7" s="32" customFormat="1" x14ac:dyDescent="0.25">
      <c r="A698" s="315"/>
      <c r="B698" s="315"/>
      <c r="C698" s="326"/>
      <c r="D698" s="315"/>
      <c r="E698" s="321"/>
      <c r="F698" s="322"/>
      <c r="G698" s="315"/>
    </row>
    <row r="699" spans="1:7" s="32" customFormat="1" x14ac:dyDescent="0.25">
      <c r="A699" s="315"/>
      <c r="B699" s="315"/>
      <c r="C699" s="326"/>
      <c r="D699" s="315"/>
      <c r="E699" s="321"/>
      <c r="F699" s="322"/>
      <c r="G699" s="315"/>
    </row>
    <row r="700" spans="1:7" s="32" customFormat="1" x14ac:dyDescent="0.25">
      <c r="A700" s="315"/>
      <c r="B700" s="315"/>
      <c r="C700" s="326"/>
      <c r="D700" s="315"/>
      <c r="E700" s="321"/>
      <c r="F700" s="322"/>
      <c r="G700" s="315"/>
    </row>
    <row r="701" spans="1:7" s="32" customFormat="1" x14ac:dyDescent="0.25">
      <c r="A701" s="315"/>
      <c r="B701" s="315"/>
      <c r="C701" s="326"/>
      <c r="D701" s="315"/>
      <c r="E701" s="321"/>
      <c r="F701" s="322"/>
      <c r="G701" s="315"/>
    </row>
    <row r="702" spans="1:7" s="32" customFormat="1" x14ac:dyDescent="0.25">
      <c r="A702" s="315"/>
      <c r="B702" s="315"/>
      <c r="C702" s="326"/>
      <c r="D702" s="315"/>
      <c r="E702" s="321"/>
      <c r="F702" s="322"/>
      <c r="G702" s="315"/>
    </row>
    <row r="703" spans="1:7" s="32" customFormat="1" x14ac:dyDescent="0.25">
      <c r="A703" s="315"/>
      <c r="B703" s="315"/>
      <c r="C703" s="326"/>
      <c r="D703" s="315"/>
      <c r="E703" s="321"/>
      <c r="F703" s="322"/>
      <c r="G703" s="315"/>
    </row>
    <row r="704" spans="1:7" s="32" customFormat="1" x14ac:dyDescent="0.25">
      <c r="A704" s="315"/>
      <c r="B704" s="315"/>
      <c r="C704" s="326"/>
      <c r="D704" s="315"/>
      <c r="E704" s="321"/>
      <c r="F704" s="322"/>
      <c r="G704" s="315"/>
    </row>
    <row r="705" spans="1:7" s="32" customFormat="1" x14ac:dyDescent="0.25">
      <c r="A705" s="315"/>
      <c r="B705" s="315"/>
      <c r="C705" s="326"/>
      <c r="D705" s="315"/>
      <c r="E705" s="321"/>
      <c r="F705" s="322"/>
      <c r="G705" s="315"/>
    </row>
    <row r="706" spans="1:7" s="32" customFormat="1" x14ac:dyDescent="0.25">
      <c r="A706" s="315"/>
      <c r="B706" s="315"/>
      <c r="C706" s="326"/>
      <c r="D706" s="315"/>
      <c r="E706" s="321"/>
      <c r="F706" s="322"/>
      <c r="G706" s="315"/>
    </row>
    <row r="707" spans="1:7" s="32" customFormat="1" x14ac:dyDescent="0.25">
      <c r="A707" s="315"/>
      <c r="B707" s="315"/>
      <c r="C707" s="326"/>
      <c r="D707" s="315"/>
      <c r="E707" s="321"/>
      <c r="F707" s="322"/>
      <c r="G707" s="315"/>
    </row>
    <row r="708" spans="1:7" s="32" customFormat="1" x14ac:dyDescent="0.25">
      <c r="A708" s="315"/>
      <c r="B708" s="315"/>
      <c r="C708" s="326"/>
      <c r="D708" s="315"/>
      <c r="E708" s="321"/>
      <c r="F708" s="322"/>
      <c r="G708" s="315"/>
    </row>
    <row r="709" spans="1:7" s="32" customFormat="1" x14ac:dyDescent="0.25">
      <c r="A709" s="315"/>
      <c r="B709" s="315"/>
      <c r="C709" s="326"/>
      <c r="D709" s="315"/>
      <c r="E709" s="321"/>
      <c r="F709" s="322"/>
      <c r="G709" s="315"/>
    </row>
    <row r="710" spans="1:7" s="32" customFormat="1" x14ac:dyDescent="0.25">
      <c r="A710" s="315"/>
      <c r="B710" s="315"/>
      <c r="C710" s="326"/>
      <c r="D710" s="315"/>
      <c r="E710" s="321"/>
      <c r="F710" s="322"/>
      <c r="G710" s="315"/>
    </row>
    <row r="711" spans="1:7" s="32" customFormat="1" x14ac:dyDescent="0.25">
      <c r="A711" s="315"/>
      <c r="B711" s="315"/>
      <c r="C711" s="326"/>
      <c r="D711" s="315"/>
      <c r="E711" s="321"/>
      <c r="F711" s="322"/>
      <c r="G711" s="315"/>
    </row>
    <row r="712" spans="1:7" s="32" customFormat="1" x14ac:dyDescent="0.25">
      <c r="A712" s="315"/>
      <c r="B712" s="315"/>
      <c r="C712" s="326"/>
      <c r="D712" s="315"/>
      <c r="E712" s="321"/>
      <c r="F712" s="322"/>
      <c r="G712" s="315"/>
    </row>
    <row r="713" spans="1:7" s="32" customFormat="1" x14ac:dyDescent="0.25">
      <c r="A713" s="315"/>
      <c r="B713" s="315"/>
      <c r="C713" s="326"/>
      <c r="D713" s="315"/>
      <c r="E713" s="321"/>
      <c r="F713" s="322"/>
      <c r="G713" s="315"/>
    </row>
    <row r="714" spans="1:7" s="32" customFormat="1" x14ac:dyDescent="0.25">
      <c r="A714" s="315"/>
      <c r="B714" s="315"/>
      <c r="C714" s="326"/>
      <c r="D714" s="315"/>
      <c r="E714" s="321"/>
      <c r="F714" s="322"/>
      <c r="G714" s="315"/>
    </row>
    <row r="715" spans="1:7" s="32" customFormat="1" x14ac:dyDescent="0.25">
      <c r="A715" s="315"/>
      <c r="B715" s="315"/>
      <c r="C715" s="326"/>
      <c r="D715" s="315"/>
      <c r="E715" s="321"/>
      <c r="F715" s="322"/>
      <c r="G715" s="315"/>
    </row>
    <row r="716" spans="1:7" s="32" customFormat="1" x14ac:dyDescent="0.25">
      <c r="A716" s="315"/>
      <c r="B716" s="315"/>
      <c r="C716" s="326"/>
      <c r="D716" s="315"/>
      <c r="E716" s="321"/>
      <c r="F716" s="322"/>
      <c r="G716" s="315"/>
    </row>
    <row r="717" spans="1:7" s="32" customFormat="1" x14ac:dyDescent="0.25">
      <c r="A717" s="315"/>
      <c r="B717" s="315"/>
      <c r="C717" s="326"/>
      <c r="D717" s="315"/>
      <c r="E717" s="321"/>
      <c r="F717" s="322"/>
      <c r="G717" s="315"/>
    </row>
    <row r="718" spans="1:7" s="32" customFormat="1" x14ac:dyDescent="0.25">
      <c r="A718" s="315"/>
      <c r="B718" s="315"/>
      <c r="C718" s="326"/>
      <c r="D718" s="315"/>
      <c r="E718" s="321"/>
      <c r="F718" s="322"/>
      <c r="G718" s="315"/>
    </row>
    <row r="719" spans="1:7" s="32" customFormat="1" x14ac:dyDescent="0.25">
      <c r="A719" s="315"/>
      <c r="B719" s="315"/>
      <c r="C719" s="326"/>
      <c r="D719" s="315"/>
      <c r="E719" s="321"/>
      <c r="F719" s="322"/>
      <c r="G719" s="315"/>
    </row>
    <row r="720" spans="1:7" s="32" customFormat="1" x14ac:dyDescent="0.25">
      <c r="A720" s="315"/>
      <c r="B720" s="315"/>
      <c r="C720" s="326"/>
      <c r="D720" s="315"/>
      <c r="E720" s="321"/>
      <c r="F720" s="322"/>
      <c r="G720" s="315"/>
    </row>
    <row r="721" spans="1:7" s="32" customFormat="1" x14ac:dyDescent="0.25">
      <c r="A721" s="315"/>
      <c r="B721" s="315"/>
      <c r="C721" s="326"/>
      <c r="D721" s="315"/>
      <c r="E721" s="321"/>
      <c r="F721" s="322"/>
      <c r="G721" s="315"/>
    </row>
    <row r="722" spans="1:7" s="32" customFormat="1" x14ac:dyDescent="0.25">
      <c r="A722" s="315"/>
      <c r="B722" s="315"/>
      <c r="C722" s="326"/>
      <c r="D722" s="315"/>
      <c r="E722" s="321"/>
      <c r="F722" s="322"/>
      <c r="G722" s="315"/>
    </row>
    <row r="723" spans="1:7" s="32" customFormat="1" x14ac:dyDescent="0.25">
      <c r="A723" s="315"/>
      <c r="B723" s="315"/>
      <c r="C723" s="326"/>
      <c r="D723" s="315"/>
      <c r="E723" s="321"/>
      <c r="F723" s="322"/>
      <c r="G723" s="315"/>
    </row>
    <row r="724" spans="1:7" s="32" customFormat="1" x14ac:dyDescent="0.25">
      <c r="A724" s="315"/>
      <c r="B724" s="315"/>
      <c r="C724" s="326"/>
      <c r="D724" s="315"/>
      <c r="E724" s="321"/>
      <c r="F724" s="322"/>
      <c r="G724" s="315"/>
    </row>
    <row r="725" spans="1:7" s="32" customFormat="1" x14ac:dyDescent="0.25">
      <c r="A725" s="315"/>
      <c r="B725" s="315"/>
      <c r="C725" s="326"/>
      <c r="D725" s="315"/>
      <c r="E725" s="321"/>
      <c r="F725" s="322"/>
      <c r="G725" s="315"/>
    </row>
    <row r="726" spans="1:7" s="32" customFormat="1" x14ac:dyDescent="0.25">
      <c r="A726" s="315"/>
      <c r="B726" s="315"/>
      <c r="C726" s="326"/>
      <c r="D726" s="315"/>
      <c r="E726" s="321"/>
      <c r="F726" s="322"/>
      <c r="G726" s="315"/>
    </row>
    <row r="727" spans="1:7" s="32" customFormat="1" x14ac:dyDescent="0.25">
      <c r="A727" s="315"/>
      <c r="B727" s="315"/>
      <c r="C727" s="326"/>
      <c r="D727" s="315"/>
      <c r="E727" s="321"/>
      <c r="F727" s="322"/>
      <c r="G727" s="315"/>
    </row>
    <row r="728" spans="1:7" s="32" customFormat="1" x14ac:dyDescent="0.25">
      <c r="A728" s="315"/>
      <c r="B728" s="315"/>
      <c r="C728" s="326"/>
      <c r="D728" s="315"/>
      <c r="E728" s="321"/>
      <c r="F728" s="322"/>
      <c r="G728" s="315"/>
    </row>
    <row r="729" spans="1:7" s="32" customFormat="1" x14ac:dyDescent="0.25">
      <c r="A729" s="315"/>
      <c r="B729" s="315"/>
      <c r="C729" s="326"/>
      <c r="D729" s="315"/>
      <c r="E729" s="321"/>
      <c r="F729" s="322"/>
      <c r="G729" s="315"/>
    </row>
    <row r="730" spans="1:7" s="32" customFormat="1" x14ac:dyDescent="0.25">
      <c r="A730" s="315"/>
      <c r="B730" s="315"/>
      <c r="C730" s="326"/>
      <c r="D730" s="315"/>
      <c r="E730" s="321"/>
      <c r="F730" s="322"/>
      <c r="G730" s="315"/>
    </row>
    <row r="731" spans="1:7" s="32" customFormat="1" x14ac:dyDescent="0.25">
      <c r="A731" s="315"/>
      <c r="B731" s="315"/>
      <c r="C731" s="326"/>
      <c r="D731" s="315"/>
      <c r="E731" s="321"/>
      <c r="F731" s="322"/>
      <c r="G731" s="315"/>
    </row>
    <row r="732" spans="1:7" s="32" customFormat="1" x14ac:dyDescent="0.25">
      <c r="A732" s="315"/>
      <c r="B732" s="315"/>
      <c r="C732" s="326"/>
      <c r="D732" s="315"/>
      <c r="E732" s="321"/>
      <c r="F732" s="322"/>
      <c r="G732" s="315"/>
    </row>
    <row r="733" spans="1:7" s="32" customFormat="1" x14ac:dyDescent="0.25">
      <c r="A733" s="315"/>
      <c r="B733" s="315"/>
      <c r="C733" s="326"/>
      <c r="D733" s="315"/>
      <c r="E733" s="321"/>
      <c r="F733" s="322"/>
      <c r="G733" s="315"/>
    </row>
    <row r="734" spans="1:7" s="32" customFormat="1" x14ac:dyDescent="0.25">
      <c r="A734" s="315"/>
      <c r="B734" s="315"/>
      <c r="C734" s="326"/>
      <c r="D734" s="315"/>
      <c r="E734" s="321"/>
      <c r="F734" s="322"/>
      <c r="G734" s="315"/>
    </row>
    <row r="735" spans="1:7" s="32" customFormat="1" x14ac:dyDescent="0.25">
      <c r="A735" s="315"/>
      <c r="B735" s="315"/>
      <c r="C735" s="326"/>
      <c r="D735" s="315"/>
      <c r="E735" s="321"/>
      <c r="F735" s="322"/>
      <c r="G735" s="315"/>
    </row>
    <row r="736" spans="1:7" s="32" customFormat="1" x14ac:dyDescent="0.25">
      <c r="A736" s="315"/>
      <c r="B736" s="315"/>
      <c r="C736" s="326"/>
      <c r="D736" s="315"/>
      <c r="E736" s="321"/>
      <c r="F736" s="322"/>
      <c r="G736" s="315"/>
    </row>
    <row r="737" spans="1:7" s="32" customFormat="1" x14ac:dyDescent="0.25">
      <c r="A737" s="315"/>
      <c r="B737" s="315"/>
      <c r="C737" s="326"/>
      <c r="D737" s="315"/>
      <c r="E737" s="321"/>
      <c r="F737" s="322"/>
      <c r="G737" s="315"/>
    </row>
    <row r="738" spans="1:7" s="32" customFormat="1" x14ac:dyDescent="0.25">
      <c r="A738" s="315"/>
      <c r="B738" s="315"/>
      <c r="C738" s="326"/>
      <c r="D738" s="315"/>
      <c r="E738" s="321"/>
      <c r="F738" s="322"/>
      <c r="G738" s="315"/>
    </row>
    <row r="739" spans="1:7" s="32" customFormat="1" x14ac:dyDescent="0.25">
      <c r="A739" s="315"/>
      <c r="B739" s="315"/>
      <c r="C739" s="326"/>
      <c r="D739" s="315"/>
      <c r="E739" s="321"/>
      <c r="F739" s="322"/>
      <c r="G739" s="315"/>
    </row>
    <row r="740" spans="1:7" s="32" customFormat="1" x14ac:dyDescent="0.25">
      <c r="A740" s="315"/>
      <c r="B740" s="315"/>
      <c r="C740" s="326"/>
      <c r="D740" s="315"/>
      <c r="E740" s="321"/>
      <c r="F740" s="322"/>
      <c r="G740" s="315"/>
    </row>
    <row r="741" spans="1:7" s="32" customFormat="1" x14ac:dyDescent="0.25">
      <c r="A741" s="315"/>
      <c r="B741" s="315"/>
      <c r="C741" s="326"/>
      <c r="D741" s="315"/>
      <c r="E741" s="321"/>
      <c r="F741" s="322"/>
      <c r="G741" s="315"/>
    </row>
    <row r="742" spans="1:7" s="32" customFormat="1" x14ac:dyDescent="0.25">
      <c r="A742" s="315"/>
      <c r="B742" s="315"/>
      <c r="C742" s="326"/>
      <c r="D742" s="315"/>
      <c r="E742" s="321"/>
      <c r="F742" s="322"/>
      <c r="G742" s="315"/>
    </row>
    <row r="743" spans="1:7" s="32" customFormat="1" x14ac:dyDescent="0.25">
      <c r="A743" s="315"/>
      <c r="B743" s="315"/>
      <c r="C743" s="326"/>
      <c r="D743" s="315"/>
      <c r="E743" s="321"/>
      <c r="F743" s="322"/>
      <c r="G743" s="315"/>
    </row>
    <row r="744" spans="1:7" s="32" customFormat="1" x14ac:dyDescent="0.25">
      <c r="A744" s="315"/>
      <c r="B744" s="315"/>
      <c r="C744" s="326"/>
      <c r="D744" s="315"/>
      <c r="E744" s="321"/>
      <c r="F744" s="322"/>
      <c r="G744" s="315"/>
    </row>
    <row r="745" spans="1:7" s="32" customFormat="1" x14ac:dyDescent="0.25">
      <c r="A745" s="315"/>
      <c r="B745" s="315"/>
      <c r="C745" s="326"/>
      <c r="D745" s="315"/>
      <c r="E745" s="321"/>
      <c r="F745" s="322"/>
      <c r="G745" s="315"/>
    </row>
    <row r="746" spans="1:7" s="32" customFormat="1" x14ac:dyDescent="0.25">
      <c r="A746" s="315"/>
      <c r="B746" s="315"/>
      <c r="C746" s="326"/>
      <c r="D746" s="315"/>
      <c r="E746" s="321"/>
      <c r="F746" s="322"/>
      <c r="G746" s="315"/>
    </row>
    <row r="747" spans="1:7" s="32" customFormat="1" x14ac:dyDescent="0.25">
      <c r="A747" s="315"/>
      <c r="B747" s="315"/>
      <c r="C747" s="326"/>
      <c r="D747" s="315"/>
      <c r="E747" s="321"/>
      <c r="F747" s="322"/>
      <c r="G747" s="315"/>
    </row>
    <row r="748" spans="1:7" s="32" customFormat="1" x14ac:dyDescent="0.25">
      <c r="A748" s="315"/>
      <c r="B748" s="315"/>
      <c r="C748" s="326"/>
      <c r="D748" s="315"/>
      <c r="E748" s="321"/>
      <c r="F748" s="322"/>
      <c r="G748" s="315"/>
    </row>
    <row r="749" spans="1:7" s="32" customFormat="1" x14ac:dyDescent="0.25">
      <c r="A749" s="315"/>
      <c r="B749" s="315"/>
      <c r="C749" s="326"/>
      <c r="D749" s="315"/>
      <c r="E749" s="321"/>
      <c r="F749" s="322"/>
      <c r="G749" s="315"/>
    </row>
    <row r="750" spans="1:7" s="32" customFormat="1" x14ac:dyDescent="0.25">
      <c r="A750" s="315"/>
      <c r="B750" s="315"/>
      <c r="C750" s="326"/>
      <c r="D750" s="315"/>
      <c r="E750" s="321"/>
      <c r="F750" s="322"/>
      <c r="G750" s="315"/>
    </row>
    <row r="751" spans="1:7" s="32" customFormat="1" x14ac:dyDescent="0.25">
      <c r="A751" s="315"/>
      <c r="B751" s="315"/>
      <c r="C751" s="326"/>
      <c r="D751" s="315"/>
      <c r="E751" s="321"/>
      <c r="F751" s="322"/>
      <c r="G751" s="315"/>
    </row>
    <row r="752" spans="1:7" s="32" customFormat="1" x14ac:dyDescent="0.25">
      <c r="A752" s="315"/>
      <c r="B752" s="315"/>
      <c r="C752" s="326"/>
      <c r="D752" s="315"/>
      <c r="E752" s="321"/>
      <c r="F752" s="322"/>
      <c r="G752" s="315"/>
    </row>
    <row r="753" spans="1:7" s="32" customFormat="1" x14ac:dyDescent="0.25">
      <c r="A753" s="315"/>
      <c r="B753" s="315"/>
      <c r="C753" s="326"/>
      <c r="D753" s="315"/>
      <c r="E753" s="321"/>
      <c r="F753" s="322"/>
      <c r="G753" s="315"/>
    </row>
    <row r="754" spans="1:7" s="32" customFormat="1" x14ac:dyDescent="0.25">
      <c r="A754" s="315"/>
      <c r="B754" s="315"/>
      <c r="C754" s="326"/>
      <c r="D754" s="315"/>
      <c r="E754" s="321"/>
      <c r="F754" s="322"/>
      <c r="G754" s="315"/>
    </row>
    <row r="755" spans="1:7" s="32" customFormat="1" x14ac:dyDescent="0.25">
      <c r="A755" s="315"/>
      <c r="B755" s="315"/>
      <c r="C755" s="326"/>
      <c r="D755" s="315"/>
      <c r="E755" s="321"/>
      <c r="F755" s="322"/>
      <c r="G755" s="315"/>
    </row>
    <row r="756" spans="1:7" s="32" customFormat="1" x14ac:dyDescent="0.25">
      <c r="A756" s="315"/>
      <c r="B756" s="315"/>
      <c r="C756" s="326"/>
      <c r="D756" s="315"/>
      <c r="E756" s="321"/>
      <c r="F756" s="322"/>
      <c r="G756" s="315"/>
    </row>
    <row r="757" spans="1:7" s="32" customFormat="1" x14ac:dyDescent="0.25">
      <c r="A757" s="315"/>
      <c r="B757" s="315"/>
      <c r="C757" s="326"/>
      <c r="D757" s="315"/>
      <c r="E757" s="321"/>
      <c r="F757" s="322"/>
      <c r="G757" s="315"/>
    </row>
    <row r="758" spans="1:7" s="32" customFormat="1" x14ac:dyDescent="0.25">
      <c r="A758" s="315"/>
      <c r="B758" s="315"/>
      <c r="C758" s="326"/>
      <c r="D758" s="315"/>
      <c r="E758" s="321"/>
      <c r="F758" s="322"/>
      <c r="G758" s="315"/>
    </row>
    <row r="759" spans="1:7" s="32" customFormat="1" x14ac:dyDescent="0.25">
      <c r="A759" s="315"/>
      <c r="B759" s="315"/>
      <c r="C759" s="326"/>
      <c r="D759" s="315"/>
      <c r="E759" s="321"/>
      <c r="F759" s="322"/>
      <c r="G759" s="315"/>
    </row>
    <row r="760" spans="1:7" s="32" customFormat="1" x14ac:dyDescent="0.25">
      <c r="A760" s="315"/>
      <c r="B760" s="315"/>
      <c r="C760" s="326"/>
      <c r="D760" s="315"/>
      <c r="E760" s="321"/>
      <c r="F760" s="322"/>
      <c r="G760" s="315"/>
    </row>
    <row r="761" spans="1:7" s="32" customFormat="1" x14ac:dyDescent="0.25">
      <c r="A761" s="315"/>
      <c r="B761" s="315"/>
      <c r="C761" s="326"/>
      <c r="D761" s="315"/>
      <c r="E761" s="321"/>
      <c r="F761" s="322"/>
      <c r="G761" s="315"/>
    </row>
    <row r="762" spans="1:7" s="32" customFormat="1" x14ac:dyDescent="0.25">
      <c r="A762" s="315"/>
      <c r="B762" s="315"/>
      <c r="C762" s="326"/>
      <c r="D762" s="315"/>
      <c r="E762" s="321"/>
      <c r="F762" s="322"/>
      <c r="G762" s="315"/>
    </row>
    <row r="763" spans="1:7" s="32" customFormat="1" x14ac:dyDescent="0.25">
      <c r="A763" s="315"/>
      <c r="B763" s="315"/>
      <c r="C763" s="326"/>
      <c r="D763" s="315"/>
      <c r="E763" s="321"/>
      <c r="F763" s="322"/>
      <c r="G763" s="315"/>
    </row>
    <row r="764" spans="1:7" s="32" customFormat="1" x14ac:dyDescent="0.25">
      <c r="A764" s="315"/>
      <c r="B764" s="315"/>
      <c r="C764" s="326"/>
      <c r="D764" s="315"/>
      <c r="E764" s="321"/>
      <c r="F764" s="322"/>
      <c r="G764" s="315"/>
    </row>
    <row r="765" spans="1:7" s="32" customFormat="1" x14ac:dyDescent="0.25">
      <c r="A765" s="315"/>
      <c r="B765" s="315"/>
      <c r="C765" s="326"/>
      <c r="D765" s="315"/>
      <c r="E765" s="321"/>
      <c r="F765" s="322"/>
      <c r="G765" s="315"/>
    </row>
    <row r="766" spans="1:7" s="32" customFormat="1" x14ac:dyDescent="0.25">
      <c r="A766" s="315"/>
      <c r="B766" s="315"/>
      <c r="C766" s="326"/>
      <c r="D766" s="315"/>
      <c r="E766" s="321"/>
      <c r="F766" s="322"/>
      <c r="G766" s="315"/>
    </row>
    <row r="767" spans="1:7" s="32" customFormat="1" x14ac:dyDescent="0.25">
      <c r="A767" s="315"/>
      <c r="B767" s="315"/>
      <c r="C767" s="326"/>
      <c r="D767" s="315"/>
      <c r="E767" s="321"/>
      <c r="F767" s="322"/>
      <c r="G767" s="315"/>
    </row>
    <row r="768" spans="1:7" s="32" customFormat="1" x14ac:dyDescent="0.25">
      <c r="A768" s="315"/>
      <c r="B768" s="315"/>
      <c r="C768" s="326"/>
      <c r="D768" s="315"/>
      <c r="E768" s="321"/>
      <c r="F768" s="322"/>
      <c r="G768" s="315"/>
    </row>
    <row r="769" spans="1:7" s="32" customFormat="1" x14ac:dyDescent="0.25">
      <c r="A769" s="315"/>
      <c r="B769" s="315"/>
      <c r="C769" s="326"/>
      <c r="D769" s="315"/>
      <c r="E769" s="321"/>
      <c r="F769" s="322"/>
      <c r="G769" s="315"/>
    </row>
    <row r="770" spans="1:7" s="32" customFormat="1" x14ac:dyDescent="0.25">
      <c r="A770" s="315"/>
      <c r="B770" s="315"/>
      <c r="C770" s="326"/>
      <c r="D770" s="315"/>
      <c r="E770" s="321"/>
      <c r="F770" s="322"/>
      <c r="G770" s="315"/>
    </row>
    <row r="771" spans="1:7" s="32" customFormat="1" x14ac:dyDescent="0.25">
      <c r="A771" s="315"/>
      <c r="B771" s="315"/>
      <c r="C771" s="326"/>
      <c r="D771" s="315"/>
      <c r="E771" s="321"/>
      <c r="F771" s="322"/>
      <c r="G771" s="315"/>
    </row>
    <row r="772" spans="1:7" s="32" customFormat="1" x14ac:dyDescent="0.25">
      <c r="A772" s="315"/>
      <c r="B772" s="315"/>
      <c r="C772" s="326"/>
      <c r="D772" s="315"/>
      <c r="E772" s="321"/>
      <c r="F772" s="322"/>
      <c r="G772" s="315"/>
    </row>
    <row r="773" spans="1:7" s="32" customFormat="1" x14ac:dyDescent="0.25">
      <c r="A773" s="315"/>
      <c r="B773" s="315"/>
      <c r="C773" s="326"/>
      <c r="D773" s="315"/>
      <c r="E773" s="321"/>
      <c r="F773" s="322"/>
      <c r="G773" s="315"/>
    </row>
    <row r="774" spans="1:7" s="32" customFormat="1" x14ac:dyDescent="0.25">
      <c r="A774" s="315"/>
      <c r="B774" s="315"/>
      <c r="C774" s="326"/>
      <c r="D774" s="315"/>
      <c r="E774" s="321"/>
      <c r="F774" s="322"/>
      <c r="G774" s="315"/>
    </row>
    <row r="775" spans="1:7" s="32" customFormat="1" x14ac:dyDescent="0.25">
      <c r="A775" s="315"/>
      <c r="B775" s="315"/>
      <c r="C775" s="326"/>
      <c r="D775" s="315"/>
      <c r="E775" s="321"/>
      <c r="F775" s="322"/>
      <c r="G775" s="315"/>
    </row>
    <row r="776" spans="1:7" s="32" customFormat="1" x14ac:dyDescent="0.25">
      <c r="A776" s="315"/>
      <c r="B776" s="315"/>
      <c r="C776" s="326"/>
      <c r="D776" s="315"/>
      <c r="E776" s="321"/>
      <c r="F776" s="322"/>
      <c r="G776" s="315"/>
    </row>
    <row r="777" spans="1:7" s="32" customFormat="1" x14ac:dyDescent="0.25">
      <c r="A777" s="315"/>
      <c r="B777" s="315"/>
      <c r="C777" s="326"/>
      <c r="D777" s="315"/>
      <c r="E777" s="321"/>
      <c r="F777" s="322"/>
      <c r="G777" s="315"/>
    </row>
    <row r="778" spans="1:7" s="32" customFormat="1" x14ac:dyDescent="0.25">
      <c r="A778" s="315"/>
      <c r="B778" s="315"/>
      <c r="C778" s="326"/>
      <c r="D778" s="315"/>
      <c r="E778" s="321"/>
      <c r="F778" s="322"/>
      <c r="G778" s="315"/>
    </row>
    <row r="779" spans="1:7" s="32" customFormat="1" x14ac:dyDescent="0.25">
      <c r="A779" s="315"/>
      <c r="B779" s="315"/>
      <c r="C779" s="326"/>
      <c r="D779" s="315"/>
      <c r="E779" s="321"/>
      <c r="F779" s="322"/>
      <c r="G779" s="315"/>
    </row>
    <row r="780" spans="1:7" s="32" customFormat="1" x14ac:dyDescent="0.25">
      <c r="A780" s="315"/>
      <c r="B780" s="315"/>
      <c r="C780" s="326"/>
      <c r="D780" s="315"/>
      <c r="E780" s="321"/>
      <c r="F780" s="322"/>
      <c r="G780" s="315"/>
    </row>
    <row r="781" spans="1:7" s="32" customFormat="1" x14ac:dyDescent="0.25">
      <c r="A781" s="315"/>
      <c r="B781" s="315"/>
      <c r="C781" s="326"/>
      <c r="D781" s="315"/>
      <c r="E781" s="321"/>
      <c r="F781" s="322"/>
      <c r="G781" s="315"/>
    </row>
    <row r="782" spans="1:7" s="32" customFormat="1" x14ac:dyDescent="0.25">
      <c r="A782" s="315"/>
      <c r="B782" s="315"/>
      <c r="C782" s="326"/>
      <c r="D782" s="315"/>
      <c r="E782" s="321"/>
      <c r="F782" s="322"/>
      <c r="G782" s="315"/>
    </row>
    <row r="783" spans="1:7" s="32" customFormat="1" x14ac:dyDescent="0.25">
      <c r="A783" s="315"/>
      <c r="B783" s="315"/>
      <c r="C783" s="326"/>
      <c r="D783" s="315"/>
      <c r="E783" s="321"/>
      <c r="F783" s="322"/>
      <c r="G783" s="315"/>
    </row>
    <row r="784" spans="1:7" s="32" customFormat="1" x14ac:dyDescent="0.25">
      <c r="A784" s="315"/>
      <c r="B784" s="315"/>
      <c r="C784" s="326"/>
      <c r="D784" s="315"/>
      <c r="E784" s="321"/>
      <c r="F784" s="322"/>
      <c r="G784" s="315"/>
    </row>
    <row r="785" spans="1:7" s="32" customFormat="1" x14ac:dyDescent="0.25">
      <c r="A785" s="315"/>
      <c r="B785" s="315"/>
      <c r="C785" s="326"/>
      <c r="D785" s="315"/>
      <c r="E785" s="321"/>
      <c r="F785" s="322"/>
      <c r="G785" s="315"/>
    </row>
    <row r="786" spans="1:7" s="32" customFormat="1" x14ac:dyDescent="0.25">
      <c r="A786" s="315"/>
      <c r="B786" s="315"/>
      <c r="C786" s="326"/>
      <c r="D786" s="315"/>
      <c r="E786" s="321"/>
      <c r="F786" s="322"/>
      <c r="G786" s="315"/>
    </row>
    <row r="787" spans="1:7" s="32" customFormat="1" x14ac:dyDescent="0.25">
      <c r="A787" s="315"/>
      <c r="B787" s="315"/>
      <c r="C787" s="326"/>
      <c r="D787" s="315"/>
      <c r="E787" s="321"/>
      <c r="F787" s="322"/>
      <c r="G787" s="315"/>
    </row>
    <row r="788" spans="1:7" s="32" customFormat="1" x14ac:dyDescent="0.25">
      <c r="A788" s="315"/>
      <c r="B788" s="315"/>
      <c r="C788" s="326"/>
      <c r="D788" s="315"/>
      <c r="E788" s="321"/>
      <c r="F788" s="322"/>
      <c r="G788" s="315"/>
    </row>
    <row r="789" spans="1:7" s="32" customFormat="1" x14ac:dyDescent="0.25">
      <c r="A789" s="315"/>
      <c r="B789" s="315"/>
      <c r="C789" s="326"/>
      <c r="D789" s="315"/>
      <c r="E789" s="321"/>
      <c r="F789" s="322"/>
      <c r="G789" s="315"/>
    </row>
    <row r="790" spans="1:7" s="32" customFormat="1" x14ac:dyDescent="0.25">
      <c r="A790" s="315"/>
      <c r="B790" s="315"/>
      <c r="C790" s="326"/>
      <c r="D790" s="315"/>
      <c r="E790" s="321"/>
      <c r="F790" s="322"/>
      <c r="G790" s="315"/>
    </row>
    <row r="791" spans="1:7" s="32" customFormat="1" x14ac:dyDescent="0.25">
      <c r="A791" s="315"/>
      <c r="B791" s="315"/>
      <c r="C791" s="326"/>
      <c r="D791" s="315"/>
      <c r="E791" s="321"/>
      <c r="F791" s="322"/>
      <c r="G791" s="315"/>
    </row>
    <row r="792" spans="1:7" s="32" customFormat="1" x14ac:dyDescent="0.25">
      <c r="A792" s="315"/>
      <c r="B792" s="315"/>
      <c r="C792" s="326"/>
      <c r="D792" s="315"/>
      <c r="E792" s="321"/>
      <c r="F792" s="322"/>
      <c r="G792" s="315"/>
    </row>
    <row r="793" spans="1:7" s="32" customFormat="1" x14ac:dyDescent="0.25">
      <c r="A793" s="315"/>
      <c r="B793" s="315"/>
      <c r="C793" s="326"/>
      <c r="D793" s="315"/>
      <c r="E793" s="321"/>
      <c r="F793" s="322"/>
      <c r="G793" s="315"/>
    </row>
    <row r="794" spans="1:7" s="32" customFormat="1" x14ac:dyDescent="0.25">
      <c r="A794" s="315"/>
      <c r="B794" s="315"/>
      <c r="C794" s="326"/>
      <c r="D794" s="315"/>
      <c r="E794" s="321"/>
      <c r="F794" s="322"/>
      <c r="G794" s="315"/>
    </row>
    <row r="795" spans="1:7" s="32" customFormat="1" x14ac:dyDescent="0.25">
      <c r="A795" s="315"/>
      <c r="B795" s="315"/>
      <c r="C795" s="326"/>
      <c r="D795" s="315"/>
      <c r="E795" s="321"/>
      <c r="F795" s="322"/>
      <c r="G795" s="315"/>
    </row>
    <row r="796" spans="1:7" s="32" customFormat="1" x14ac:dyDescent="0.25">
      <c r="A796" s="315"/>
      <c r="B796" s="315"/>
      <c r="C796" s="326"/>
      <c r="D796" s="315"/>
      <c r="E796" s="321"/>
      <c r="F796" s="322"/>
      <c r="G796" s="315"/>
    </row>
    <row r="797" spans="1:7" s="32" customFormat="1" x14ac:dyDescent="0.25">
      <c r="A797" s="315"/>
      <c r="B797" s="315"/>
      <c r="C797" s="326"/>
      <c r="D797" s="315"/>
      <c r="E797" s="321"/>
      <c r="F797" s="322"/>
      <c r="G797" s="315"/>
    </row>
    <row r="798" spans="1:7" s="32" customFormat="1" x14ac:dyDescent="0.25">
      <c r="A798" s="315"/>
      <c r="B798" s="315"/>
      <c r="C798" s="326"/>
      <c r="D798" s="315"/>
      <c r="E798" s="321"/>
      <c r="F798" s="322"/>
      <c r="G798" s="315"/>
    </row>
    <row r="799" spans="1:7" s="32" customFormat="1" x14ac:dyDescent="0.25">
      <c r="A799" s="315"/>
      <c r="B799" s="315"/>
      <c r="C799" s="326"/>
      <c r="D799" s="315"/>
      <c r="E799" s="321"/>
      <c r="F799" s="322"/>
      <c r="G799" s="315"/>
    </row>
    <row r="800" spans="1:7" s="32" customFormat="1" x14ac:dyDescent="0.25">
      <c r="A800" s="315"/>
      <c r="B800" s="315"/>
      <c r="C800" s="326"/>
      <c r="D800" s="315"/>
      <c r="E800" s="321"/>
      <c r="F800" s="322"/>
      <c r="G800" s="315"/>
    </row>
    <row r="801" spans="1:7" s="32" customFormat="1" x14ac:dyDescent="0.25">
      <c r="A801" s="315"/>
      <c r="B801" s="315"/>
      <c r="C801" s="326"/>
      <c r="D801" s="315"/>
      <c r="E801" s="321"/>
      <c r="F801" s="322"/>
      <c r="G801" s="315"/>
    </row>
    <row r="802" spans="1:7" s="32" customFormat="1" x14ac:dyDescent="0.25">
      <c r="A802" s="315"/>
      <c r="B802" s="315"/>
      <c r="C802" s="326"/>
      <c r="D802" s="315"/>
      <c r="E802" s="321"/>
      <c r="F802" s="322"/>
      <c r="G802" s="315"/>
    </row>
    <row r="803" spans="1:7" s="32" customFormat="1" x14ac:dyDescent="0.25">
      <c r="A803" s="315"/>
      <c r="B803" s="315"/>
      <c r="C803" s="326"/>
      <c r="D803" s="315"/>
      <c r="E803" s="321"/>
      <c r="F803" s="322"/>
      <c r="G803" s="315"/>
    </row>
    <row r="804" spans="1:7" s="32" customFormat="1" x14ac:dyDescent="0.25">
      <c r="A804" s="315"/>
      <c r="B804" s="315"/>
      <c r="C804" s="326"/>
      <c r="D804" s="315"/>
      <c r="E804" s="321"/>
      <c r="F804" s="322"/>
      <c r="G804" s="315"/>
    </row>
    <row r="805" spans="1:7" s="32" customFormat="1" x14ac:dyDescent="0.25">
      <c r="A805" s="315"/>
      <c r="B805" s="315"/>
      <c r="C805" s="326"/>
      <c r="D805" s="315"/>
      <c r="E805" s="321"/>
      <c r="F805" s="322"/>
      <c r="G805" s="315"/>
    </row>
    <row r="806" spans="1:7" s="32" customFormat="1" x14ac:dyDescent="0.25">
      <c r="A806" s="315"/>
      <c r="B806" s="315"/>
      <c r="C806" s="326"/>
      <c r="D806" s="315"/>
      <c r="E806" s="321"/>
      <c r="F806" s="322"/>
      <c r="G806" s="315"/>
    </row>
    <row r="807" spans="1:7" s="32" customFormat="1" x14ac:dyDescent="0.25">
      <c r="A807" s="315"/>
      <c r="B807" s="315"/>
      <c r="C807" s="326"/>
      <c r="D807" s="315"/>
      <c r="E807" s="321"/>
      <c r="F807" s="322"/>
      <c r="G807" s="315"/>
    </row>
    <row r="808" spans="1:7" s="32" customFormat="1" x14ac:dyDescent="0.25">
      <c r="A808" s="315"/>
      <c r="B808" s="315"/>
      <c r="C808" s="326"/>
      <c r="D808" s="315"/>
      <c r="E808" s="321"/>
      <c r="F808" s="322"/>
      <c r="G808" s="315"/>
    </row>
    <row r="809" spans="1:7" s="32" customFormat="1" x14ac:dyDescent="0.25">
      <c r="A809" s="315"/>
      <c r="B809" s="315"/>
      <c r="C809" s="326"/>
      <c r="D809" s="315"/>
      <c r="E809" s="321"/>
      <c r="F809" s="322"/>
      <c r="G809" s="315"/>
    </row>
    <row r="810" spans="1:7" s="32" customFormat="1" x14ac:dyDescent="0.25">
      <c r="A810" s="315"/>
      <c r="B810" s="315"/>
      <c r="C810" s="326"/>
      <c r="D810" s="315"/>
      <c r="E810" s="321"/>
      <c r="F810" s="322"/>
      <c r="G810" s="315"/>
    </row>
    <row r="811" spans="1:7" s="32" customFormat="1" x14ac:dyDescent="0.25">
      <c r="A811" s="315"/>
      <c r="B811" s="315"/>
      <c r="C811" s="326"/>
      <c r="D811" s="315"/>
      <c r="E811" s="321"/>
      <c r="F811" s="322"/>
      <c r="G811" s="315"/>
    </row>
    <row r="812" spans="1:7" s="32" customFormat="1" x14ac:dyDescent="0.25">
      <c r="A812" s="315"/>
      <c r="B812" s="315"/>
      <c r="C812" s="326"/>
      <c r="D812" s="315"/>
      <c r="E812" s="321"/>
      <c r="F812" s="322"/>
      <c r="G812" s="315"/>
    </row>
    <row r="813" spans="1:7" s="32" customFormat="1" x14ac:dyDescent="0.25">
      <c r="A813" s="315"/>
      <c r="B813" s="315"/>
      <c r="C813" s="326"/>
      <c r="D813" s="315"/>
      <c r="E813" s="321"/>
      <c r="F813" s="322"/>
      <c r="G813" s="315"/>
    </row>
    <row r="814" spans="1:7" s="32" customFormat="1" x14ac:dyDescent="0.25">
      <c r="A814" s="315"/>
      <c r="B814" s="315"/>
      <c r="C814" s="326"/>
      <c r="D814" s="315"/>
      <c r="E814" s="321"/>
      <c r="F814" s="322"/>
      <c r="G814" s="315"/>
    </row>
    <row r="815" spans="1:7" s="32" customFormat="1" x14ac:dyDescent="0.25">
      <c r="A815" s="315"/>
      <c r="B815" s="315"/>
      <c r="C815" s="326"/>
      <c r="D815" s="315"/>
      <c r="E815" s="321"/>
      <c r="F815" s="322"/>
      <c r="G815" s="315"/>
    </row>
    <row r="816" spans="1:7" s="32" customFormat="1" x14ac:dyDescent="0.25">
      <c r="A816" s="315"/>
      <c r="B816" s="315"/>
      <c r="C816" s="326"/>
      <c r="D816" s="315"/>
      <c r="E816" s="321"/>
      <c r="F816" s="322"/>
      <c r="G816" s="315"/>
    </row>
    <row r="817" spans="1:7" s="32" customFormat="1" x14ac:dyDescent="0.25">
      <c r="A817" s="315"/>
      <c r="B817" s="315"/>
      <c r="C817" s="326"/>
      <c r="D817" s="315"/>
      <c r="E817" s="321"/>
      <c r="F817" s="322"/>
      <c r="G817" s="315"/>
    </row>
    <row r="818" spans="1:7" s="32" customFormat="1" x14ac:dyDescent="0.25">
      <c r="A818" s="315"/>
      <c r="B818" s="315"/>
      <c r="C818" s="326"/>
      <c r="D818" s="315"/>
      <c r="E818" s="321"/>
      <c r="F818" s="322"/>
      <c r="G818" s="315"/>
    </row>
    <row r="819" spans="1:7" s="32" customFormat="1" x14ac:dyDescent="0.25">
      <c r="A819" s="315"/>
      <c r="B819" s="315"/>
      <c r="C819" s="326"/>
      <c r="D819" s="315"/>
      <c r="E819" s="321"/>
      <c r="F819" s="322"/>
      <c r="G819" s="315"/>
    </row>
    <row r="820" spans="1:7" s="32" customFormat="1" x14ac:dyDescent="0.25">
      <c r="A820" s="315"/>
      <c r="B820" s="315"/>
      <c r="C820" s="326"/>
      <c r="D820" s="315"/>
      <c r="E820" s="321"/>
      <c r="F820" s="322"/>
      <c r="G820" s="315"/>
    </row>
    <row r="821" spans="1:7" s="32" customFormat="1" x14ac:dyDescent="0.25">
      <c r="A821" s="315"/>
      <c r="B821" s="315"/>
      <c r="C821" s="326"/>
      <c r="D821" s="315"/>
      <c r="E821" s="321"/>
      <c r="F821" s="322"/>
      <c r="G821" s="315"/>
    </row>
    <row r="822" spans="1:7" s="32" customFormat="1" x14ac:dyDescent="0.25">
      <c r="A822" s="315"/>
      <c r="B822" s="315"/>
      <c r="C822" s="326"/>
      <c r="D822" s="315"/>
      <c r="E822" s="321"/>
      <c r="F822" s="322"/>
      <c r="G822" s="315"/>
    </row>
    <row r="823" spans="1:7" s="32" customFormat="1" x14ac:dyDescent="0.25">
      <c r="A823" s="315"/>
      <c r="B823" s="315"/>
      <c r="C823" s="326"/>
      <c r="D823" s="315"/>
      <c r="E823" s="321"/>
      <c r="F823" s="322"/>
      <c r="G823" s="315"/>
    </row>
    <row r="824" spans="1:7" s="32" customFormat="1" x14ac:dyDescent="0.25">
      <c r="A824" s="315"/>
      <c r="B824" s="315"/>
      <c r="C824" s="326"/>
      <c r="D824" s="315"/>
      <c r="E824" s="321"/>
      <c r="F824" s="322"/>
      <c r="G824" s="315"/>
    </row>
    <row r="825" spans="1:7" s="32" customFormat="1" x14ac:dyDescent="0.25">
      <c r="A825" s="315"/>
      <c r="B825" s="315"/>
      <c r="C825" s="326"/>
      <c r="D825" s="315"/>
      <c r="E825" s="321"/>
      <c r="F825" s="322"/>
      <c r="G825" s="315"/>
    </row>
    <row r="826" spans="1:7" s="32" customFormat="1" x14ac:dyDescent="0.25">
      <c r="A826" s="315"/>
      <c r="B826" s="315"/>
      <c r="C826" s="326"/>
      <c r="D826" s="315"/>
      <c r="E826" s="321"/>
      <c r="F826" s="322"/>
      <c r="G826" s="315"/>
    </row>
    <row r="827" spans="1:7" s="32" customFormat="1" x14ac:dyDescent="0.25">
      <c r="A827" s="315"/>
      <c r="B827" s="315"/>
      <c r="C827" s="326"/>
      <c r="D827" s="315"/>
      <c r="E827" s="321"/>
      <c r="F827" s="322"/>
      <c r="G827" s="315"/>
    </row>
    <row r="828" spans="1:7" s="32" customFormat="1" x14ac:dyDescent="0.25">
      <c r="A828" s="315"/>
      <c r="B828" s="315"/>
      <c r="C828" s="326"/>
      <c r="D828" s="315"/>
      <c r="E828" s="321"/>
      <c r="F828" s="322"/>
      <c r="G828" s="315"/>
    </row>
    <row r="829" spans="1:7" s="32" customFormat="1" x14ac:dyDescent="0.25">
      <c r="A829" s="315"/>
      <c r="B829" s="315"/>
      <c r="C829" s="326"/>
      <c r="D829" s="315"/>
      <c r="E829" s="321"/>
      <c r="F829" s="322"/>
      <c r="G829" s="315"/>
    </row>
    <row r="830" spans="1:7" s="32" customFormat="1" x14ac:dyDescent="0.25">
      <c r="A830" s="315"/>
      <c r="B830" s="315"/>
      <c r="C830" s="326"/>
      <c r="D830" s="315"/>
      <c r="E830" s="321"/>
      <c r="F830" s="322"/>
      <c r="G830" s="315"/>
    </row>
    <row r="831" spans="1:7" s="32" customFormat="1" x14ac:dyDescent="0.25">
      <c r="A831" s="315"/>
      <c r="B831" s="315"/>
      <c r="C831" s="326"/>
      <c r="D831" s="315"/>
      <c r="E831" s="321"/>
      <c r="F831" s="322"/>
      <c r="G831" s="315"/>
    </row>
    <row r="832" spans="1:7" s="32" customFormat="1" x14ac:dyDescent="0.25">
      <c r="A832" s="315"/>
      <c r="B832" s="315"/>
      <c r="C832" s="326"/>
      <c r="D832" s="315"/>
      <c r="E832" s="321"/>
      <c r="F832" s="322"/>
      <c r="G832" s="315"/>
    </row>
    <row r="833" spans="1:7" s="32" customFormat="1" x14ac:dyDescent="0.25">
      <c r="A833" s="315"/>
      <c r="B833" s="315"/>
      <c r="C833" s="326"/>
      <c r="D833" s="315"/>
      <c r="E833" s="321"/>
      <c r="F833" s="322"/>
      <c r="G833" s="315"/>
    </row>
    <row r="834" spans="1:7" s="32" customFormat="1" x14ac:dyDescent="0.25">
      <c r="A834" s="315"/>
      <c r="B834" s="315"/>
      <c r="C834" s="326"/>
      <c r="D834" s="315"/>
      <c r="E834" s="321"/>
      <c r="F834" s="322"/>
      <c r="G834" s="315"/>
    </row>
    <row r="835" spans="1:7" s="32" customFormat="1" x14ac:dyDescent="0.25">
      <c r="A835" s="315"/>
      <c r="B835" s="315"/>
      <c r="C835" s="326"/>
      <c r="D835" s="315"/>
      <c r="E835" s="321"/>
      <c r="F835" s="322"/>
      <c r="G835" s="315"/>
    </row>
    <row r="836" spans="1:7" s="32" customFormat="1" x14ac:dyDescent="0.25">
      <c r="A836" s="315"/>
      <c r="B836" s="315"/>
      <c r="C836" s="326"/>
      <c r="D836" s="315"/>
      <c r="E836" s="321"/>
      <c r="F836" s="322"/>
      <c r="G836" s="315"/>
    </row>
    <row r="837" spans="1:7" s="32" customFormat="1" x14ac:dyDescent="0.25">
      <c r="A837" s="315"/>
      <c r="B837" s="315"/>
      <c r="C837" s="326"/>
      <c r="D837" s="315"/>
      <c r="E837" s="321"/>
      <c r="F837" s="322"/>
      <c r="G837" s="315"/>
    </row>
    <row r="838" spans="1:7" s="32" customFormat="1" x14ac:dyDescent="0.25">
      <c r="A838" s="315"/>
      <c r="B838" s="315"/>
      <c r="C838" s="326"/>
      <c r="D838" s="315"/>
      <c r="E838" s="321"/>
      <c r="F838" s="322"/>
      <c r="G838" s="315"/>
    </row>
    <row r="839" spans="1:7" s="32" customFormat="1" x14ac:dyDescent="0.25">
      <c r="A839" s="315"/>
      <c r="B839" s="315"/>
      <c r="C839" s="326"/>
      <c r="D839" s="315"/>
      <c r="E839" s="321"/>
      <c r="F839" s="322"/>
      <c r="G839" s="315"/>
    </row>
    <row r="840" spans="1:7" s="32" customFormat="1" x14ac:dyDescent="0.25">
      <c r="A840" s="315"/>
      <c r="B840" s="315"/>
      <c r="C840" s="326"/>
      <c r="D840" s="315"/>
      <c r="E840" s="321"/>
      <c r="F840" s="322"/>
      <c r="G840" s="315"/>
    </row>
    <row r="841" spans="1:7" s="32" customFormat="1" x14ac:dyDescent="0.25">
      <c r="A841" s="315"/>
      <c r="B841" s="315"/>
      <c r="C841" s="326"/>
      <c r="D841" s="315"/>
      <c r="E841" s="321"/>
      <c r="F841" s="322"/>
      <c r="G841" s="315"/>
    </row>
    <row r="842" spans="1:7" s="32" customFormat="1" x14ac:dyDescent="0.25">
      <c r="A842" s="315"/>
      <c r="B842" s="315"/>
      <c r="C842" s="326"/>
      <c r="D842" s="315"/>
      <c r="E842" s="321"/>
      <c r="F842" s="322"/>
      <c r="G842" s="315"/>
    </row>
    <row r="843" spans="1:7" s="32" customFormat="1" x14ac:dyDescent="0.25">
      <c r="A843" s="315"/>
      <c r="B843" s="315"/>
      <c r="C843" s="326"/>
      <c r="D843" s="315"/>
      <c r="E843" s="321"/>
      <c r="F843" s="322"/>
      <c r="G843" s="315"/>
    </row>
    <row r="844" spans="1:7" s="32" customFormat="1" x14ac:dyDescent="0.25">
      <c r="A844" s="315"/>
      <c r="B844" s="315"/>
      <c r="C844" s="326"/>
      <c r="D844" s="315"/>
      <c r="E844" s="321"/>
      <c r="F844" s="322"/>
      <c r="G844" s="315"/>
    </row>
    <row r="845" spans="1:7" s="32" customFormat="1" x14ac:dyDescent="0.25">
      <c r="A845" s="315"/>
      <c r="B845" s="315"/>
      <c r="C845" s="326"/>
      <c r="D845" s="315"/>
      <c r="E845" s="321"/>
      <c r="F845" s="322"/>
      <c r="G845" s="315"/>
    </row>
    <row r="846" spans="1:7" s="32" customFormat="1" x14ac:dyDescent="0.25">
      <c r="A846" s="315"/>
      <c r="B846" s="315"/>
      <c r="C846" s="326"/>
      <c r="D846" s="315"/>
      <c r="E846" s="321"/>
      <c r="F846" s="322"/>
      <c r="G846" s="315"/>
    </row>
    <row r="847" spans="1:7" s="32" customFormat="1" x14ac:dyDescent="0.25">
      <c r="A847" s="315"/>
      <c r="B847" s="315"/>
      <c r="C847" s="326"/>
      <c r="D847" s="315"/>
      <c r="E847" s="321"/>
      <c r="F847" s="322"/>
      <c r="G847" s="315"/>
    </row>
    <row r="848" spans="1:7" s="32" customFormat="1" x14ac:dyDescent="0.25">
      <c r="A848" s="315"/>
      <c r="B848" s="315"/>
      <c r="C848" s="326"/>
      <c r="D848" s="315"/>
      <c r="E848" s="321"/>
      <c r="F848" s="322"/>
      <c r="G848" s="315"/>
    </row>
    <row r="849" spans="1:7" s="32" customFormat="1" x14ac:dyDescent="0.25">
      <c r="A849" s="315"/>
      <c r="B849" s="315"/>
      <c r="C849" s="326"/>
      <c r="D849" s="315"/>
      <c r="E849" s="321"/>
      <c r="F849" s="322"/>
      <c r="G849" s="315"/>
    </row>
    <row r="850" spans="1:7" s="32" customFormat="1" x14ac:dyDescent="0.25">
      <c r="A850" s="315"/>
      <c r="B850" s="315"/>
      <c r="C850" s="326"/>
      <c r="D850" s="315"/>
      <c r="E850" s="321"/>
      <c r="F850" s="322"/>
      <c r="G850" s="315"/>
    </row>
    <row r="851" spans="1:7" s="32" customFormat="1" x14ac:dyDescent="0.25">
      <c r="A851" s="315"/>
      <c r="B851" s="315"/>
      <c r="C851" s="326"/>
      <c r="D851" s="315"/>
      <c r="E851" s="321"/>
      <c r="F851" s="322"/>
      <c r="G851" s="315"/>
    </row>
    <row r="852" spans="1:7" s="32" customFormat="1" x14ac:dyDescent="0.25">
      <c r="A852" s="315"/>
      <c r="B852" s="315"/>
      <c r="C852" s="326"/>
      <c r="D852" s="315"/>
      <c r="E852" s="321"/>
      <c r="F852" s="322"/>
      <c r="G852" s="315"/>
    </row>
    <row r="853" spans="1:7" s="32" customFormat="1" x14ac:dyDescent="0.25">
      <c r="A853" s="315"/>
      <c r="B853" s="315"/>
      <c r="C853" s="326"/>
      <c r="D853" s="315"/>
      <c r="E853" s="321"/>
      <c r="F853" s="322"/>
      <c r="G853" s="315"/>
    </row>
    <row r="854" spans="1:7" s="32" customFormat="1" x14ac:dyDescent="0.25">
      <c r="A854" s="315"/>
      <c r="B854" s="315"/>
      <c r="C854" s="326"/>
      <c r="D854" s="315"/>
      <c r="E854" s="321"/>
      <c r="F854" s="322"/>
      <c r="G854" s="315"/>
    </row>
    <row r="855" spans="1:7" s="32" customFormat="1" x14ac:dyDescent="0.25">
      <c r="A855" s="315"/>
      <c r="B855" s="315"/>
      <c r="C855" s="326"/>
      <c r="D855" s="315"/>
      <c r="E855" s="321"/>
      <c r="F855" s="322"/>
      <c r="G855" s="315"/>
    </row>
    <row r="856" spans="1:7" s="32" customFormat="1" x14ac:dyDescent="0.25">
      <c r="A856" s="315"/>
      <c r="B856" s="315"/>
      <c r="C856" s="326"/>
      <c r="D856" s="315"/>
      <c r="E856" s="321"/>
      <c r="F856" s="322"/>
      <c r="G856" s="315"/>
    </row>
    <row r="857" spans="1:7" s="32" customFormat="1" x14ac:dyDescent="0.25">
      <c r="A857" s="315"/>
      <c r="B857" s="315"/>
      <c r="C857" s="326"/>
      <c r="D857" s="315"/>
      <c r="E857" s="321"/>
      <c r="F857" s="322"/>
      <c r="G857" s="315"/>
    </row>
    <row r="858" spans="1:7" s="32" customFormat="1" x14ac:dyDescent="0.25">
      <c r="A858" s="315"/>
      <c r="B858" s="315"/>
      <c r="C858" s="326"/>
      <c r="D858" s="315"/>
      <c r="E858" s="321"/>
      <c r="F858" s="322"/>
      <c r="G858" s="315"/>
    </row>
    <row r="859" spans="1:7" s="32" customFormat="1" x14ac:dyDescent="0.25">
      <c r="A859" s="315"/>
      <c r="B859" s="315"/>
      <c r="C859" s="326"/>
      <c r="D859" s="315"/>
      <c r="E859" s="321"/>
      <c r="F859" s="322"/>
      <c r="G859" s="315"/>
    </row>
    <row r="860" spans="1:7" s="32" customFormat="1" x14ac:dyDescent="0.25">
      <c r="A860" s="315"/>
      <c r="B860" s="315"/>
      <c r="C860" s="326"/>
      <c r="D860" s="315"/>
      <c r="E860" s="321"/>
      <c r="F860" s="322"/>
      <c r="G860" s="315"/>
    </row>
    <row r="861" spans="1:7" s="32" customFormat="1" x14ac:dyDescent="0.25">
      <c r="A861" s="315"/>
      <c r="B861" s="315"/>
      <c r="C861" s="326"/>
      <c r="D861" s="315"/>
      <c r="E861" s="321"/>
      <c r="F861" s="322"/>
      <c r="G861" s="315"/>
    </row>
    <row r="862" spans="1:7" s="32" customFormat="1" x14ac:dyDescent="0.25">
      <c r="A862" s="315"/>
      <c r="B862" s="315"/>
      <c r="C862" s="326"/>
      <c r="D862" s="315"/>
      <c r="E862" s="321"/>
      <c r="F862" s="322"/>
      <c r="G862" s="315"/>
    </row>
    <row r="863" spans="1:7" s="32" customFormat="1" x14ac:dyDescent="0.25">
      <c r="A863" s="315"/>
      <c r="B863" s="315"/>
      <c r="C863" s="326"/>
      <c r="D863" s="315"/>
      <c r="E863" s="321"/>
      <c r="F863" s="322"/>
      <c r="G863" s="315"/>
    </row>
    <row r="864" spans="1:7" s="32" customFormat="1" x14ac:dyDescent="0.25">
      <c r="A864" s="315"/>
      <c r="B864" s="315"/>
      <c r="C864" s="326"/>
      <c r="D864" s="315"/>
      <c r="E864" s="321"/>
      <c r="F864" s="322"/>
      <c r="G864" s="315"/>
    </row>
    <row r="865" spans="1:7" s="32" customFormat="1" x14ac:dyDescent="0.25">
      <c r="A865" s="315"/>
      <c r="B865" s="315"/>
      <c r="C865" s="326"/>
      <c r="D865" s="315"/>
      <c r="E865" s="321"/>
      <c r="F865" s="322"/>
      <c r="G865" s="315"/>
    </row>
    <row r="866" spans="1:7" s="32" customFormat="1" x14ac:dyDescent="0.25">
      <c r="A866" s="315"/>
      <c r="B866" s="315"/>
      <c r="C866" s="326"/>
      <c r="D866" s="315"/>
      <c r="E866" s="321"/>
      <c r="F866" s="322"/>
      <c r="G866" s="315"/>
    </row>
    <row r="867" spans="1:7" s="32" customFormat="1" x14ac:dyDescent="0.25">
      <c r="A867" s="315"/>
      <c r="B867" s="315"/>
      <c r="C867" s="326"/>
      <c r="D867" s="315"/>
      <c r="E867" s="321"/>
      <c r="F867" s="322"/>
      <c r="G867" s="315"/>
    </row>
    <row r="868" spans="1:7" s="32" customFormat="1" x14ac:dyDescent="0.25">
      <c r="A868" s="315"/>
      <c r="B868" s="315"/>
      <c r="C868" s="326"/>
      <c r="D868" s="315"/>
      <c r="E868" s="321"/>
      <c r="F868" s="322"/>
      <c r="G868" s="315"/>
    </row>
    <row r="869" spans="1:7" s="32" customFormat="1" x14ac:dyDescent="0.25">
      <c r="A869" s="315"/>
      <c r="B869" s="315"/>
      <c r="C869" s="326"/>
      <c r="D869" s="315"/>
      <c r="E869" s="321"/>
      <c r="F869" s="322"/>
      <c r="G869" s="315"/>
    </row>
    <row r="870" spans="1:7" s="32" customFormat="1" x14ac:dyDescent="0.25">
      <c r="A870" s="315"/>
      <c r="B870" s="315"/>
      <c r="C870" s="326"/>
      <c r="D870" s="315"/>
      <c r="E870" s="321"/>
      <c r="F870" s="322"/>
      <c r="G870" s="315"/>
    </row>
    <row r="871" spans="1:7" s="32" customFormat="1" x14ac:dyDescent="0.25">
      <c r="A871" s="315"/>
      <c r="B871" s="315"/>
      <c r="C871" s="326"/>
      <c r="D871" s="315"/>
      <c r="E871" s="321"/>
      <c r="F871" s="322"/>
      <c r="G871" s="315"/>
    </row>
    <row r="872" spans="1:7" s="32" customFormat="1" x14ac:dyDescent="0.25">
      <c r="A872" s="315"/>
      <c r="B872" s="315"/>
      <c r="C872" s="326"/>
      <c r="D872" s="315"/>
      <c r="E872" s="321"/>
      <c r="F872" s="322"/>
      <c r="G872" s="315"/>
    </row>
    <row r="873" spans="1:7" s="32" customFormat="1" x14ac:dyDescent="0.25">
      <c r="A873" s="315"/>
      <c r="B873" s="315"/>
      <c r="C873" s="326"/>
      <c r="D873" s="315"/>
      <c r="E873" s="321"/>
      <c r="F873" s="322"/>
      <c r="G873" s="315"/>
    </row>
    <row r="874" spans="1:7" s="32" customFormat="1" x14ac:dyDescent="0.25">
      <c r="A874" s="315"/>
      <c r="B874" s="315"/>
      <c r="C874" s="326"/>
      <c r="D874" s="315"/>
      <c r="E874" s="321"/>
      <c r="F874" s="322"/>
      <c r="G874" s="315"/>
    </row>
    <row r="875" spans="1:7" s="32" customFormat="1" x14ac:dyDescent="0.25">
      <c r="A875" s="315"/>
      <c r="B875" s="315"/>
      <c r="C875" s="326"/>
      <c r="D875" s="315"/>
      <c r="E875" s="321"/>
      <c r="F875" s="322"/>
      <c r="G875" s="315"/>
    </row>
    <row r="876" spans="1:7" s="32" customFormat="1" x14ac:dyDescent="0.25">
      <c r="A876" s="315"/>
      <c r="B876" s="315"/>
      <c r="C876" s="326"/>
      <c r="D876" s="315"/>
      <c r="E876" s="321"/>
      <c r="F876" s="322"/>
      <c r="G876" s="315"/>
    </row>
    <row r="877" spans="1:7" s="32" customFormat="1" x14ac:dyDescent="0.25">
      <c r="A877" s="315"/>
      <c r="B877" s="315"/>
      <c r="C877" s="326"/>
      <c r="D877" s="315"/>
      <c r="E877" s="321"/>
      <c r="F877" s="322"/>
      <c r="G877" s="315"/>
    </row>
    <row r="878" spans="1:7" s="32" customFormat="1" x14ac:dyDescent="0.25">
      <c r="A878" s="315"/>
      <c r="B878" s="315"/>
      <c r="C878" s="326"/>
      <c r="D878" s="315"/>
      <c r="E878" s="321"/>
      <c r="F878" s="322"/>
      <c r="G878" s="315"/>
    </row>
    <row r="879" spans="1:7" s="32" customFormat="1" x14ac:dyDescent="0.25">
      <c r="A879" s="315"/>
      <c r="B879" s="315"/>
      <c r="C879" s="326"/>
      <c r="D879" s="315"/>
      <c r="E879" s="321"/>
      <c r="F879" s="322"/>
      <c r="G879" s="315"/>
    </row>
    <row r="880" spans="1:7" s="32" customFormat="1" x14ac:dyDescent="0.25">
      <c r="A880" s="315"/>
      <c r="B880" s="315"/>
      <c r="C880" s="326"/>
      <c r="D880" s="315"/>
      <c r="E880" s="321"/>
      <c r="F880" s="322"/>
      <c r="G880" s="315"/>
    </row>
    <row r="881" spans="1:7" s="32" customFormat="1" x14ac:dyDescent="0.25">
      <c r="A881" s="315"/>
      <c r="B881" s="315"/>
      <c r="C881" s="326"/>
      <c r="D881" s="315"/>
      <c r="E881" s="321"/>
      <c r="F881" s="322"/>
      <c r="G881" s="315"/>
    </row>
    <row r="882" spans="1:7" s="32" customFormat="1" x14ac:dyDescent="0.25">
      <c r="A882" s="315"/>
      <c r="B882" s="315"/>
      <c r="C882" s="326"/>
      <c r="D882" s="315"/>
      <c r="E882" s="321"/>
      <c r="F882" s="322"/>
      <c r="G882" s="315"/>
    </row>
    <row r="883" spans="1:7" s="32" customFormat="1" x14ac:dyDescent="0.25">
      <c r="A883" s="315"/>
      <c r="B883" s="315"/>
      <c r="C883" s="326"/>
      <c r="D883" s="315"/>
      <c r="E883" s="321"/>
      <c r="F883" s="322"/>
      <c r="G883" s="315"/>
    </row>
    <row r="884" spans="1:7" s="32" customFormat="1" x14ac:dyDescent="0.25">
      <c r="A884" s="315"/>
      <c r="B884" s="315"/>
      <c r="C884" s="326"/>
      <c r="D884" s="315"/>
      <c r="E884" s="321"/>
      <c r="F884" s="322"/>
      <c r="G884" s="315"/>
    </row>
    <row r="885" spans="1:7" s="32" customFormat="1" x14ac:dyDescent="0.25">
      <c r="A885" s="315"/>
      <c r="B885" s="315"/>
      <c r="C885" s="326"/>
      <c r="D885" s="315"/>
      <c r="E885" s="321"/>
      <c r="F885" s="322"/>
      <c r="G885" s="315"/>
    </row>
    <row r="886" spans="1:7" s="32" customFormat="1" x14ac:dyDescent="0.25">
      <c r="A886" s="315"/>
      <c r="B886" s="315"/>
      <c r="C886" s="326"/>
      <c r="D886" s="315"/>
      <c r="E886" s="321"/>
      <c r="F886" s="322"/>
      <c r="G886" s="315"/>
    </row>
    <row r="887" spans="1:7" s="32" customFormat="1" x14ac:dyDescent="0.25">
      <c r="A887" s="315"/>
      <c r="B887" s="315"/>
      <c r="C887" s="326"/>
      <c r="D887" s="315"/>
      <c r="E887" s="321"/>
      <c r="F887" s="322"/>
      <c r="G887" s="315"/>
    </row>
    <row r="888" spans="1:7" s="32" customFormat="1" x14ac:dyDescent="0.25">
      <c r="A888" s="315"/>
      <c r="B888" s="315"/>
      <c r="C888" s="326"/>
      <c r="D888" s="315"/>
      <c r="E888" s="321"/>
      <c r="F888" s="322"/>
      <c r="G888" s="315"/>
    </row>
    <row r="889" spans="1:7" s="32" customFormat="1" x14ac:dyDescent="0.25">
      <c r="A889" s="315"/>
      <c r="B889" s="315"/>
      <c r="C889" s="326"/>
      <c r="D889" s="315"/>
      <c r="E889" s="321"/>
      <c r="F889" s="322"/>
      <c r="G889" s="315"/>
    </row>
    <row r="890" spans="1:7" s="32" customFormat="1" x14ac:dyDescent="0.25">
      <c r="A890" s="315"/>
      <c r="B890" s="315"/>
      <c r="C890" s="326"/>
      <c r="D890" s="315"/>
      <c r="E890" s="321"/>
      <c r="F890" s="322"/>
      <c r="G890" s="315"/>
    </row>
    <row r="891" spans="1:7" s="32" customFormat="1" x14ac:dyDescent="0.25">
      <c r="A891" s="315"/>
      <c r="B891" s="315"/>
      <c r="C891" s="326"/>
      <c r="D891" s="315"/>
      <c r="E891" s="321"/>
      <c r="F891" s="322"/>
      <c r="G891" s="315"/>
    </row>
    <row r="892" spans="1:7" s="32" customFormat="1" x14ac:dyDescent="0.25">
      <c r="A892" s="315"/>
      <c r="B892" s="315"/>
      <c r="C892" s="326"/>
      <c r="D892" s="315"/>
      <c r="E892" s="321"/>
      <c r="F892" s="322"/>
      <c r="G892" s="315"/>
    </row>
    <row r="893" spans="1:7" s="32" customFormat="1" x14ac:dyDescent="0.25">
      <c r="A893" s="315"/>
      <c r="B893" s="315"/>
      <c r="C893" s="326"/>
      <c r="D893" s="315"/>
      <c r="E893" s="321"/>
      <c r="F893" s="322"/>
      <c r="G893" s="315"/>
    </row>
    <row r="894" spans="1:7" s="32" customFormat="1" x14ac:dyDescent="0.25">
      <c r="A894" s="315"/>
      <c r="B894" s="315"/>
      <c r="C894" s="326"/>
      <c r="D894" s="315"/>
      <c r="E894" s="321"/>
      <c r="F894" s="322"/>
      <c r="G894" s="315"/>
    </row>
    <row r="895" spans="1:7" s="32" customFormat="1" x14ac:dyDescent="0.25">
      <c r="A895" s="315"/>
      <c r="B895" s="315"/>
      <c r="C895" s="326"/>
      <c r="D895" s="315"/>
      <c r="E895" s="321"/>
      <c r="F895" s="322"/>
      <c r="G895" s="315"/>
    </row>
    <row r="896" spans="1:7" s="32" customFormat="1" x14ac:dyDescent="0.25">
      <c r="A896" s="315"/>
      <c r="B896" s="315"/>
      <c r="C896" s="326"/>
      <c r="D896" s="315"/>
      <c r="E896" s="321"/>
      <c r="F896" s="322"/>
      <c r="G896" s="315"/>
    </row>
    <row r="897" spans="1:7" s="32" customFormat="1" x14ac:dyDescent="0.25">
      <c r="A897" s="315"/>
      <c r="B897" s="315"/>
      <c r="C897" s="326"/>
      <c r="D897" s="315"/>
      <c r="E897" s="321"/>
      <c r="F897" s="322"/>
      <c r="G897" s="315"/>
    </row>
    <row r="898" spans="1:7" s="32" customFormat="1" x14ac:dyDescent="0.25">
      <c r="A898" s="315"/>
      <c r="B898" s="315"/>
      <c r="C898" s="326"/>
      <c r="D898" s="315"/>
      <c r="E898" s="321"/>
      <c r="F898" s="322"/>
      <c r="G898" s="315"/>
    </row>
    <row r="899" spans="1:7" s="32" customFormat="1" x14ac:dyDescent="0.25">
      <c r="A899" s="315"/>
      <c r="B899" s="315"/>
      <c r="C899" s="326"/>
      <c r="D899" s="315"/>
      <c r="E899" s="321"/>
      <c r="F899" s="322"/>
      <c r="G899" s="315"/>
    </row>
    <row r="900" spans="1:7" s="32" customFormat="1" x14ac:dyDescent="0.25">
      <c r="A900" s="315"/>
      <c r="B900" s="315"/>
      <c r="C900" s="326"/>
      <c r="D900" s="315"/>
      <c r="E900" s="321"/>
      <c r="F900" s="322"/>
      <c r="G900" s="315"/>
    </row>
    <row r="901" spans="1:7" s="32" customFormat="1" x14ac:dyDescent="0.25">
      <c r="A901" s="315"/>
      <c r="B901" s="315"/>
      <c r="C901" s="326"/>
      <c r="D901" s="315"/>
      <c r="E901" s="321"/>
      <c r="F901" s="322"/>
      <c r="G901" s="315"/>
    </row>
    <row r="902" spans="1:7" s="32" customFormat="1" x14ac:dyDescent="0.25">
      <c r="A902" s="315"/>
      <c r="B902" s="315"/>
      <c r="C902" s="326"/>
      <c r="D902" s="315"/>
      <c r="E902" s="321"/>
      <c r="F902" s="322"/>
      <c r="G902" s="315"/>
    </row>
    <row r="903" spans="1:7" s="32" customFormat="1" x14ac:dyDescent="0.25">
      <c r="A903" s="315"/>
      <c r="B903" s="315"/>
      <c r="C903" s="326"/>
      <c r="D903" s="315"/>
      <c r="E903" s="321"/>
      <c r="F903" s="322"/>
      <c r="G903" s="315"/>
    </row>
    <row r="904" spans="1:7" s="32" customFormat="1" x14ac:dyDescent="0.25">
      <c r="A904" s="315"/>
      <c r="B904" s="315"/>
      <c r="C904" s="326"/>
      <c r="D904" s="315"/>
      <c r="E904" s="321"/>
      <c r="F904" s="322"/>
      <c r="G904" s="315"/>
    </row>
    <row r="905" spans="1:7" s="32" customFormat="1" x14ac:dyDescent="0.25">
      <c r="A905" s="315"/>
      <c r="B905" s="315"/>
      <c r="C905" s="326"/>
      <c r="D905" s="315"/>
      <c r="E905" s="321"/>
      <c r="F905" s="322"/>
      <c r="G905" s="315"/>
    </row>
    <row r="906" spans="1:7" s="32" customFormat="1" x14ac:dyDescent="0.25">
      <c r="A906" s="315"/>
      <c r="B906" s="315"/>
      <c r="C906" s="326"/>
      <c r="D906" s="315"/>
      <c r="E906" s="321"/>
      <c r="F906" s="322"/>
      <c r="G906" s="315"/>
    </row>
    <row r="907" spans="1:7" s="32" customFormat="1" x14ac:dyDescent="0.25">
      <c r="A907" s="315"/>
      <c r="B907" s="315"/>
      <c r="C907" s="326"/>
      <c r="D907" s="315"/>
      <c r="E907" s="321"/>
      <c r="F907" s="322"/>
      <c r="G907" s="315"/>
    </row>
    <row r="908" spans="1:7" s="32" customFormat="1" x14ac:dyDescent="0.25">
      <c r="A908" s="315"/>
      <c r="B908" s="315"/>
      <c r="C908" s="326"/>
      <c r="D908" s="315"/>
      <c r="E908" s="321"/>
      <c r="F908" s="322"/>
      <c r="G908" s="315"/>
    </row>
    <row r="909" spans="1:7" s="32" customFormat="1" x14ac:dyDescent="0.25">
      <c r="A909" s="315"/>
      <c r="B909" s="315"/>
      <c r="C909" s="326"/>
      <c r="D909" s="315"/>
      <c r="E909" s="321"/>
      <c r="F909" s="322"/>
      <c r="G909" s="315"/>
    </row>
    <row r="910" spans="1:7" s="32" customFormat="1" x14ac:dyDescent="0.25">
      <c r="A910" s="315"/>
      <c r="B910" s="315"/>
      <c r="C910" s="326"/>
      <c r="D910" s="315"/>
      <c r="E910" s="321"/>
      <c r="F910" s="322"/>
      <c r="G910" s="315"/>
    </row>
    <row r="911" spans="1:7" s="32" customFormat="1" x14ac:dyDescent="0.25">
      <c r="A911" s="315"/>
      <c r="B911" s="315"/>
      <c r="C911" s="326"/>
      <c r="D911" s="315"/>
      <c r="E911" s="321"/>
      <c r="F911" s="322"/>
      <c r="G911" s="315"/>
    </row>
    <row r="912" spans="1:7" s="32" customFormat="1" x14ac:dyDescent="0.25">
      <c r="A912" s="315"/>
      <c r="B912" s="315"/>
      <c r="C912" s="326"/>
      <c r="D912" s="315"/>
      <c r="E912" s="321"/>
      <c r="F912" s="322"/>
      <c r="G912" s="315"/>
    </row>
    <row r="913" spans="1:7" s="32" customFormat="1" x14ac:dyDescent="0.25">
      <c r="A913" s="315"/>
      <c r="B913" s="315"/>
      <c r="C913" s="326"/>
      <c r="D913" s="315"/>
      <c r="E913" s="321"/>
      <c r="F913" s="322"/>
      <c r="G913" s="315"/>
    </row>
    <row r="914" spans="1:7" s="32" customFormat="1" x14ac:dyDescent="0.25">
      <c r="A914" s="315"/>
      <c r="B914" s="315"/>
      <c r="C914" s="326"/>
      <c r="D914" s="315"/>
      <c r="E914" s="321"/>
      <c r="F914" s="322"/>
      <c r="G914" s="315"/>
    </row>
    <row r="915" spans="1:7" s="32" customFormat="1" x14ac:dyDescent="0.25">
      <c r="A915" s="315"/>
      <c r="B915" s="315"/>
      <c r="C915" s="326"/>
      <c r="D915" s="315"/>
      <c r="E915" s="321"/>
      <c r="F915" s="322"/>
      <c r="G915" s="315"/>
    </row>
    <row r="916" spans="1:7" s="32" customFormat="1" x14ac:dyDescent="0.25">
      <c r="A916" s="315"/>
      <c r="B916" s="315"/>
      <c r="C916" s="326"/>
      <c r="D916" s="315"/>
      <c r="E916" s="321"/>
      <c r="F916" s="322"/>
      <c r="G916" s="315"/>
    </row>
    <row r="917" spans="1:7" s="32" customFormat="1" x14ac:dyDescent="0.25">
      <c r="A917" s="315"/>
      <c r="B917" s="315"/>
      <c r="C917" s="326"/>
      <c r="D917" s="315"/>
      <c r="E917" s="321"/>
      <c r="F917" s="322"/>
      <c r="G917" s="315"/>
    </row>
    <row r="918" spans="1:7" s="32" customFormat="1" x14ac:dyDescent="0.25">
      <c r="A918" s="315"/>
      <c r="B918" s="315"/>
      <c r="C918" s="326"/>
      <c r="D918" s="315"/>
      <c r="E918" s="321"/>
      <c r="F918" s="322"/>
      <c r="G918" s="315"/>
    </row>
    <row r="919" spans="1:7" s="32" customFormat="1" x14ac:dyDescent="0.25">
      <c r="A919" s="315"/>
      <c r="B919" s="315"/>
      <c r="C919" s="326"/>
      <c r="D919" s="315"/>
      <c r="E919" s="321"/>
      <c r="F919" s="322"/>
      <c r="G919" s="315"/>
    </row>
    <row r="920" spans="1:7" s="32" customFormat="1" x14ac:dyDescent="0.25">
      <c r="A920" s="315"/>
      <c r="B920" s="315"/>
      <c r="C920" s="326"/>
      <c r="D920" s="315"/>
      <c r="E920" s="321"/>
      <c r="F920" s="322"/>
      <c r="G920" s="315"/>
    </row>
    <row r="921" spans="1:7" s="32" customFormat="1" x14ac:dyDescent="0.25">
      <c r="A921" s="315"/>
      <c r="B921" s="315"/>
      <c r="C921" s="326"/>
      <c r="D921" s="315"/>
      <c r="E921" s="321"/>
      <c r="F921" s="322"/>
      <c r="G921" s="315"/>
    </row>
    <row r="922" spans="1:7" s="32" customFormat="1" x14ac:dyDescent="0.25">
      <c r="A922" s="315"/>
      <c r="B922" s="315"/>
      <c r="C922" s="326"/>
      <c r="D922" s="315"/>
      <c r="E922" s="321"/>
      <c r="F922" s="322"/>
      <c r="G922" s="315"/>
    </row>
    <row r="923" spans="1:7" s="32" customFormat="1" x14ac:dyDescent="0.25">
      <c r="A923" s="315"/>
      <c r="B923" s="315"/>
      <c r="C923" s="326"/>
      <c r="D923" s="315"/>
      <c r="E923" s="321"/>
      <c r="F923" s="322"/>
      <c r="G923" s="315"/>
    </row>
    <row r="924" spans="1:7" s="32" customFormat="1" x14ac:dyDescent="0.25">
      <c r="A924" s="315"/>
      <c r="B924" s="315"/>
      <c r="C924" s="326"/>
      <c r="D924" s="315"/>
      <c r="E924" s="321"/>
      <c r="F924" s="322"/>
      <c r="G924" s="315"/>
    </row>
    <row r="925" spans="1:7" s="32" customFormat="1" x14ac:dyDescent="0.25">
      <c r="A925" s="315"/>
      <c r="B925" s="315"/>
      <c r="C925" s="326"/>
      <c r="D925" s="315"/>
      <c r="E925" s="321"/>
      <c r="F925" s="322"/>
      <c r="G925" s="315"/>
    </row>
    <row r="926" spans="1:7" s="32" customFormat="1" x14ac:dyDescent="0.25">
      <c r="A926" s="315"/>
      <c r="B926" s="315"/>
      <c r="C926" s="326"/>
      <c r="D926" s="315"/>
      <c r="E926" s="321"/>
      <c r="F926" s="322"/>
      <c r="G926" s="315"/>
    </row>
    <row r="927" spans="1:7" s="32" customFormat="1" x14ac:dyDescent="0.25">
      <c r="A927" s="315"/>
      <c r="B927" s="315"/>
      <c r="C927" s="326"/>
      <c r="D927" s="315"/>
      <c r="E927" s="321"/>
      <c r="F927" s="322"/>
      <c r="G927" s="315"/>
    </row>
    <row r="928" spans="1:7" s="32" customFormat="1" x14ac:dyDescent="0.25">
      <c r="A928" s="315"/>
      <c r="B928" s="315"/>
      <c r="C928" s="326"/>
      <c r="D928" s="315"/>
      <c r="E928" s="321"/>
      <c r="F928" s="322"/>
      <c r="G928" s="315"/>
    </row>
    <row r="929" spans="1:7" s="32" customFormat="1" x14ac:dyDescent="0.25">
      <c r="A929" s="315"/>
      <c r="B929" s="315"/>
      <c r="C929" s="326"/>
      <c r="D929" s="315"/>
      <c r="E929" s="321"/>
      <c r="F929" s="322"/>
      <c r="G929" s="315"/>
    </row>
    <row r="930" spans="1:7" s="32" customFormat="1" x14ac:dyDescent="0.25">
      <c r="A930" s="315"/>
      <c r="B930" s="315"/>
      <c r="C930" s="326"/>
      <c r="D930" s="315"/>
      <c r="E930" s="321"/>
      <c r="F930" s="322"/>
      <c r="G930" s="315"/>
    </row>
    <row r="931" spans="1:7" s="32" customFormat="1" x14ac:dyDescent="0.25">
      <c r="A931" s="315"/>
      <c r="B931" s="315"/>
      <c r="C931" s="326"/>
      <c r="D931" s="315"/>
      <c r="E931" s="321"/>
      <c r="F931" s="322"/>
      <c r="G931" s="315"/>
    </row>
    <row r="932" spans="1:7" s="32" customFormat="1" x14ac:dyDescent="0.25">
      <c r="A932" s="315"/>
      <c r="B932" s="315"/>
      <c r="C932" s="326"/>
      <c r="D932" s="315"/>
      <c r="E932" s="321"/>
      <c r="F932" s="322"/>
      <c r="G932" s="315"/>
    </row>
    <row r="933" spans="1:7" s="32" customFormat="1" x14ac:dyDescent="0.25">
      <c r="A933" s="315"/>
      <c r="B933" s="315"/>
      <c r="C933" s="326"/>
      <c r="D933" s="315"/>
      <c r="E933" s="321"/>
      <c r="F933" s="322"/>
      <c r="G933" s="315"/>
    </row>
    <row r="934" spans="1:7" s="32" customFormat="1" x14ac:dyDescent="0.25">
      <c r="A934" s="315"/>
      <c r="B934" s="315"/>
      <c r="C934" s="326"/>
      <c r="D934" s="315"/>
      <c r="E934" s="321"/>
      <c r="F934" s="322"/>
      <c r="G934" s="315"/>
    </row>
    <row r="935" spans="1:7" s="32" customFormat="1" x14ac:dyDescent="0.25">
      <c r="A935" s="315"/>
      <c r="B935" s="315"/>
      <c r="C935" s="326"/>
      <c r="D935" s="315"/>
      <c r="E935" s="321"/>
      <c r="F935" s="322"/>
      <c r="G935" s="315"/>
    </row>
    <row r="936" spans="1:7" s="32" customFormat="1" x14ac:dyDescent="0.25">
      <c r="A936" s="315"/>
      <c r="B936" s="315"/>
      <c r="C936" s="326"/>
      <c r="D936" s="315"/>
      <c r="E936" s="321"/>
      <c r="F936" s="322"/>
      <c r="G936" s="315"/>
    </row>
    <row r="937" spans="1:7" s="32" customFormat="1" x14ac:dyDescent="0.25">
      <c r="A937" s="315"/>
      <c r="B937" s="315"/>
      <c r="C937" s="326"/>
      <c r="D937" s="315"/>
      <c r="E937" s="321"/>
      <c r="F937" s="322"/>
      <c r="G937" s="315"/>
    </row>
    <row r="938" spans="1:7" s="32" customFormat="1" x14ac:dyDescent="0.25">
      <c r="A938" s="315"/>
      <c r="B938" s="315"/>
      <c r="C938" s="326"/>
      <c r="D938" s="315"/>
      <c r="E938" s="321"/>
      <c r="F938" s="322"/>
      <c r="G938" s="315"/>
    </row>
    <row r="939" spans="1:7" s="32" customFormat="1" x14ac:dyDescent="0.25">
      <c r="A939" s="315"/>
      <c r="B939" s="315"/>
      <c r="C939" s="326"/>
      <c r="D939" s="315"/>
      <c r="E939" s="321"/>
      <c r="F939" s="322"/>
      <c r="G939" s="315"/>
    </row>
    <row r="940" spans="1:7" s="32" customFormat="1" x14ac:dyDescent="0.25">
      <c r="A940" s="315"/>
      <c r="B940" s="315"/>
      <c r="C940" s="326"/>
      <c r="D940" s="315"/>
      <c r="E940" s="321"/>
      <c r="F940" s="322"/>
      <c r="G940" s="315"/>
    </row>
    <row r="941" spans="1:7" s="32" customFormat="1" x14ac:dyDescent="0.25">
      <c r="A941" s="315"/>
      <c r="B941" s="315"/>
      <c r="C941" s="326"/>
      <c r="D941" s="315"/>
      <c r="E941" s="321"/>
      <c r="F941" s="322"/>
      <c r="G941" s="315"/>
    </row>
    <row r="942" spans="1:7" s="32" customFormat="1" x14ac:dyDescent="0.25">
      <c r="A942" s="315"/>
      <c r="B942" s="315"/>
      <c r="C942" s="326"/>
      <c r="D942" s="315"/>
      <c r="E942" s="321"/>
      <c r="F942" s="322"/>
      <c r="G942" s="315"/>
    </row>
    <row r="943" spans="1:7" s="32" customFormat="1" x14ac:dyDescent="0.25">
      <c r="A943" s="315"/>
      <c r="B943" s="315"/>
      <c r="C943" s="326"/>
      <c r="D943" s="315"/>
      <c r="E943" s="321"/>
      <c r="F943" s="322"/>
      <c r="G943" s="315"/>
    </row>
    <row r="944" spans="1:7" s="32" customFormat="1" x14ac:dyDescent="0.25">
      <c r="A944" s="315"/>
      <c r="B944" s="315"/>
      <c r="C944" s="326"/>
      <c r="D944" s="315"/>
      <c r="E944" s="321"/>
      <c r="F944" s="322"/>
      <c r="G944" s="315"/>
    </row>
    <row r="945" spans="1:7" s="32" customFormat="1" x14ac:dyDescent="0.25">
      <c r="A945" s="315"/>
      <c r="B945" s="315"/>
      <c r="C945" s="326"/>
      <c r="D945" s="315"/>
      <c r="E945" s="321"/>
      <c r="F945" s="322"/>
      <c r="G945" s="315"/>
    </row>
    <row r="946" spans="1:7" s="32" customFormat="1" x14ac:dyDescent="0.25">
      <c r="A946" s="315"/>
      <c r="B946" s="315"/>
      <c r="C946" s="326"/>
      <c r="D946" s="315"/>
      <c r="E946" s="321"/>
      <c r="F946" s="322"/>
      <c r="G946" s="315"/>
    </row>
    <row r="947" spans="1:7" s="32" customFormat="1" x14ac:dyDescent="0.25">
      <c r="A947" s="315"/>
      <c r="B947" s="315"/>
      <c r="C947" s="326"/>
      <c r="D947" s="315"/>
      <c r="E947" s="321"/>
      <c r="F947" s="322"/>
      <c r="G947" s="315"/>
    </row>
    <row r="948" spans="1:7" s="32" customFormat="1" x14ac:dyDescent="0.25">
      <c r="A948" s="315"/>
      <c r="B948" s="315"/>
      <c r="C948" s="326"/>
      <c r="D948" s="315"/>
      <c r="E948" s="321"/>
      <c r="F948" s="322"/>
      <c r="G948" s="315"/>
    </row>
    <row r="949" spans="1:7" s="32" customFormat="1" x14ac:dyDescent="0.25">
      <c r="A949" s="315"/>
      <c r="B949" s="315"/>
      <c r="C949" s="326"/>
      <c r="D949" s="315"/>
      <c r="E949" s="321"/>
      <c r="F949" s="322"/>
      <c r="G949" s="315"/>
    </row>
    <row r="950" spans="1:7" s="32" customFormat="1" x14ac:dyDescent="0.25">
      <c r="A950" s="315"/>
      <c r="B950" s="315"/>
      <c r="C950" s="326"/>
      <c r="D950" s="315"/>
      <c r="E950" s="321"/>
      <c r="F950" s="322"/>
      <c r="G950" s="315"/>
    </row>
    <row r="951" spans="1:7" s="32" customFormat="1" x14ac:dyDescent="0.25">
      <c r="A951" s="315"/>
      <c r="B951" s="315"/>
      <c r="C951" s="326"/>
      <c r="D951" s="315"/>
      <c r="E951" s="321"/>
      <c r="F951" s="322"/>
      <c r="G951" s="315"/>
    </row>
    <row r="952" spans="1:7" s="32" customFormat="1" x14ac:dyDescent="0.25">
      <c r="A952" s="315"/>
      <c r="B952" s="315"/>
      <c r="C952" s="326"/>
      <c r="D952" s="315"/>
      <c r="E952" s="321"/>
      <c r="F952" s="322"/>
      <c r="G952" s="315"/>
    </row>
    <row r="953" spans="1:7" s="32" customFormat="1" x14ac:dyDescent="0.25">
      <c r="A953" s="315"/>
      <c r="B953" s="315"/>
      <c r="C953" s="326"/>
      <c r="D953" s="315"/>
      <c r="E953" s="321"/>
      <c r="F953" s="322"/>
      <c r="G953" s="315"/>
    </row>
    <row r="954" spans="1:7" s="32" customFormat="1" x14ac:dyDescent="0.25">
      <c r="A954" s="315"/>
      <c r="B954" s="315"/>
      <c r="C954" s="326"/>
      <c r="D954" s="315"/>
      <c r="E954" s="321"/>
      <c r="F954" s="322"/>
      <c r="G954" s="315"/>
    </row>
    <row r="955" spans="1:7" s="32" customFormat="1" x14ac:dyDescent="0.25">
      <c r="A955" s="315"/>
      <c r="B955" s="315"/>
      <c r="C955" s="326"/>
      <c r="D955" s="315"/>
      <c r="E955" s="321"/>
      <c r="F955" s="322"/>
      <c r="G955" s="315"/>
    </row>
    <row r="956" spans="1:7" s="32" customFormat="1" x14ac:dyDescent="0.25">
      <c r="A956" s="315"/>
      <c r="B956" s="315"/>
      <c r="C956" s="326"/>
      <c r="D956" s="315"/>
      <c r="E956" s="321"/>
      <c r="F956" s="322"/>
      <c r="G956" s="315"/>
    </row>
    <row r="957" spans="1:7" s="32" customFormat="1" x14ac:dyDescent="0.25">
      <c r="A957" s="315"/>
      <c r="B957" s="315"/>
      <c r="C957" s="326"/>
      <c r="D957" s="315"/>
      <c r="E957" s="321"/>
      <c r="F957" s="322"/>
      <c r="G957" s="315"/>
    </row>
    <row r="958" spans="1:7" s="32" customFormat="1" x14ac:dyDescent="0.25">
      <c r="A958" s="315"/>
      <c r="B958" s="315"/>
      <c r="C958" s="326"/>
      <c r="D958" s="315"/>
      <c r="E958" s="321"/>
      <c r="F958" s="322"/>
      <c r="G958" s="315"/>
    </row>
    <row r="959" spans="1:7" s="32" customFormat="1" x14ac:dyDescent="0.25">
      <c r="A959" s="315"/>
      <c r="B959" s="315"/>
      <c r="C959" s="326"/>
      <c r="D959" s="315"/>
      <c r="E959" s="321"/>
      <c r="F959" s="322"/>
      <c r="G959" s="315"/>
    </row>
    <row r="960" spans="1:7" s="32" customFormat="1" x14ac:dyDescent="0.25">
      <c r="A960" s="315"/>
      <c r="B960" s="315"/>
      <c r="C960" s="326"/>
      <c r="D960" s="315"/>
      <c r="E960" s="321"/>
      <c r="F960" s="322"/>
      <c r="G960" s="315"/>
    </row>
    <row r="961" spans="1:7" s="32" customFormat="1" x14ac:dyDescent="0.25">
      <c r="A961" s="315"/>
      <c r="B961" s="315"/>
      <c r="C961" s="326"/>
      <c r="D961" s="315"/>
      <c r="E961" s="321"/>
      <c r="F961" s="322"/>
      <c r="G961" s="315"/>
    </row>
    <row r="962" spans="1:7" s="32" customFormat="1" x14ac:dyDescent="0.25">
      <c r="A962" s="315"/>
      <c r="B962" s="315"/>
      <c r="C962" s="326"/>
      <c r="D962" s="315"/>
      <c r="E962" s="321"/>
      <c r="F962" s="322"/>
      <c r="G962" s="315"/>
    </row>
    <row r="963" spans="1:7" s="32" customFormat="1" x14ac:dyDescent="0.25">
      <c r="A963" s="315"/>
      <c r="B963" s="315"/>
      <c r="C963" s="326"/>
      <c r="D963" s="315"/>
      <c r="E963" s="321"/>
      <c r="F963" s="322"/>
      <c r="G963" s="315"/>
    </row>
    <row r="964" spans="1:7" s="32" customFormat="1" x14ac:dyDescent="0.25">
      <c r="A964" s="315"/>
      <c r="B964" s="315"/>
      <c r="C964" s="326"/>
      <c r="D964" s="315"/>
      <c r="E964" s="321"/>
      <c r="F964" s="322"/>
      <c r="G964" s="315"/>
    </row>
    <row r="965" spans="1:7" s="32" customFormat="1" x14ac:dyDescent="0.25">
      <c r="A965" s="315"/>
      <c r="B965" s="315"/>
      <c r="C965" s="326"/>
      <c r="D965" s="315"/>
      <c r="E965" s="321"/>
      <c r="F965" s="322"/>
      <c r="G965" s="315"/>
    </row>
    <row r="966" spans="1:7" s="32" customFormat="1" x14ac:dyDescent="0.25">
      <c r="A966" s="315"/>
      <c r="B966" s="315"/>
      <c r="C966" s="326"/>
      <c r="D966" s="315"/>
      <c r="E966" s="321"/>
      <c r="F966" s="322"/>
      <c r="G966" s="315"/>
    </row>
    <row r="967" spans="1:7" s="32" customFormat="1" x14ac:dyDescent="0.25">
      <c r="A967" s="315"/>
      <c r="B967" s="315"/>
      <c r="C967" s="326"/>
      <c r="D967" s="315"/>
      <c r="E967" s="321"/>
      <c r="F967" s="322"/>
      <c r="G967" s="315"/>
    </row>
    <row r="968" spans="1:7" s="32" customFormat="1" x14ac:dyDescent="0.25">
      <c r="A968" s="315"/>
      <c r="B968" s="315"/>
      <c r="C968" s="326"/>
      <c r="D968" s="315"/>
      <c r="E968" s="321"/>
      <c r="F968" s="322"/>
      <c r="G968" s="315"/>
    </row>
    <row r="969" spans="1:7" s="32" customFormat="1" x14ac:dyDescent="0.25">
      <c r="A969" s="315"/>
      <c r="B969" s="315"/>
      <c r="C969" s="326"/>
      <c r="D969" s="315"/>
      <c r="E969" s="321"/>
      <c r="F969" s="322"/>
      <c r="G969" s="315"/>
    </row>
    <row r="970" spans="1:7" s="32" customFormat="1" x14ac:dyDescent="0.25">
      <c r="A970" s="315"/>
      <c r="B970" s="315"/>
      <c r="C970" s="326"/>
      <c r="D970" s="315"/>
      <c r="E970" s="321"/>
      <c r="F970" s="322"/>
      <c r="G970" s="315"/>
    </row>
    <row r="971" spans="1:7" s="32" customFormat="1" x14ac:dyDescent="0.25">
      <c r="A971" s="315"/>
      <c r="B971" s="315"/>
      <c r="C971" s="326"/>
      <c r="D971" s="315"/>
      <c r="E971" s="321"/>
      <c r="F971" s="322"/>
      <c r="G971" s="315"/>
    </row>
    <row r="972" spans="1:7" s="32" customFormat="1" x14ac:dyDescent="0.25">
      <c r="A972" s="315"/>
      <c r="B972" s="315"/>
      <c r="C972" s="326"/>
      <c r="D972" s="315"/>
      <c r="E972" s="321"/>
      <c r="F972" s="322"/>
      <c r="G972" s="315"/>
    </row>
    <row r="973" spans="1:7" s="32" customFormat="1" x14ac:dyDescent="0.25">
      <c r="A973" s="315"/>
      <c r="B973" s="315"/>
      <c r="C973" s="326"/>
      <c r="D973" s="315"/>
      <c r="E973" s="321"/>
      <c r="F973" s="322"/>
      <c r="G973" s="315"/>
    </row>
    <row r="974" spans="1:7" s="32" customFormat="1" x14ac:dyDescent="0.25">
      <c r="A974" s="315"/>
      <c r="B974" s="315"/>
      <c r="C974" s="326"/>
      <c r="D974" s="315"/>
      <c r="E974" s="321"/>
      <c r="F974" s="322"/>
      <c r="G974" s="315"/>
    </row>
    <row r="975" spans="1:7" s="32" customFormat="1" x14ac:dyDescent="0.25">
      <c r="A975" s="315"/>
      <c r="B975" s="315"/>
      <c r="C975" s="326"/>
      <c r="D975" s="315"/>
      <c r="E975" s="321"/>
      <c r="F975" s="322"/>
      <c r="G975" s="315"/>
    </row>
    <row r="976" spans="1:7" s="32" customFormat="1" x14ac:dyDescent="0.25">
      <c r="A976" s="315"/>
      <c r="B976" s="315"/>
      <c r="C976" s="326"/>
      <c r="D976" s="315"/>
      <c r="E976" s="321"/>
      <c r="F976" s="322"/>
      <c r="G976" s="315"/>
    </row>
    <row r="977" spans="1:7" s="32" customFormat="1" x14ac:dyDescent="0.25">
      <c r="A977" s="315"/>
      <c r="B977" s="315"/>
      <c r="C977" s="326"/>
      <c r="D977" s="315"/>
      <c r="E977" s="321"/>
      <c r="F977" s="322"/>
      <c r="G977" s="315"/>
    </row>
    <row r="978" spans="1:7" s="32" customFormat="1" x14ac:dyDescent="0.25">
      <c r="A978" s="315"/>
      <c r="B978" s="315"/>
      <c r="C978" s="326"/>
      <c r="D978" s="315"/>
      <c r="E978" s="321"/>
      <c r="F978" s="322"/>
      <c r="G978" s="315"/>
    </row>
    <row r="979" spans="1:7" s="32" customFormat="1" x14ac:dyDescent="0.25">
      <c r="A979" s="315"/>
      <c r="B979" s="315"/>
      <c r="C979" s="326"/>
      <c r="D979" s="315"/>
      <c r="E979" s="321"/>
      <c r="F979" s="322"/>
      <c r="G979" s="315"/>
    </row>
    <row r="980" spans="1:7" s="32" customFormat="1" x14ac:dyDescent="0.25">
      <c r="A980" s="315"/>
      <c r="B980" s="315"/>
      <c r="C980" s="326"/>
      <c r="D980" s="315"/>
      <c r="E980" s="321"/>
      <c r="F980" s="322"/>
      <c r="G980" s="315"/>
    </row>
    <row r="981" spans="1:7" s="32" customFormat="1" x14ac:dyDescent="0.25">
      <c r="A981" s="315"/>
      <c r="B981" s="315"/>
      <c r="C981" s="326"/>
      <c r="D981" s="315"/>
      <c r="E981" s="321"/>
      <c r="F981" s="322"/>
      <c r="G981" s="315"/>
    </row>
    <row r="982" spans="1:7" s="32" customFormat="1" x14ac:dyDescent="0.25">
      <c r="A982" s="315"/>
      <c r="B982" s="315"/>
      <c r="C982" s="326"/>
      <c r="D982" s="315"/>
      <c r="E982" s="321"/>
      <c r="F982" s="322"/>
      <c r="G982" s="315"/>
    </row>
    <row r="983" spans="1:7" s="32" customFormat="1" x14ac:dyDescent="0.25">
      <c r="A983" s="315"/>
      <c r="B983" s="315"/>
      <c r="C983" s="326"/>
      <c r="D983" s="315"/>
      <c r="E983" s="321"/>
      <c r="F983" s="322"/>
      <c r="G983" s="315"/>
    </row>
    <row r="984" spans="1:7" s="32" customFormat="1" x14ac:dyDescent="0.25">
      <c r="A984" s="315"/>
      <c r="B984" s="315"/>
      <c r="C984" s="326"/>
      <c r="D984" s="315"/>
      <c r="E984" s="321"/>
      <c r="F984" s="322"/>
      <c r="G984" s="315"/>
    </row>
    <row r="985" spans="1:7" s="32" customFormat="1" x14ac:dyDescent="0.25">
      <c r="A985" s="315"/>
      <c r="B985" s="315"/>
      <c r="C985" s="326"/>
      <c r="D985" s="315"/>
      <c r="E985" s="321"/>
      <c r="F985" s="322"/>
      <c r="G985" s="315"/>
    </row>
    <row r="986" spans="1:7" s="32" customFormat="1" x14ac:dyDescent="0.25">
      <c r="A986" s="315"/>
      <c r="B986" s="315"/>
      <c r="C986" s="326"/>
      <c r="D986" s="315"/>
      <c r="E986" s="321"/>
      <c r="F986" s="322"/>
      <c r="G986" s="315"/>
    </row>
    <row r="987" spans="1:7" s="32" customFormat="1" x14ac:dyDescent="0.25">
      <c r="A987" s="315"/>
      <c r="B987" s="315"/>
      <c r="C987" s="326"/>
      <c r="D987" s="315"/>
      <c r="E987" s="321"/>
      <c r="F987" s="322"/>
      <c r="G987" s="315"/>
    </row>
    <row r="988" spans="1:7" s="32" customFormat="1" x14ac:dyDescent="0.25">
      <c r="A988" s="315"/>
      <c r="B988" s="315"/>
      <c r="C988" s="326"/>
      <c r="D988" s="315"/>
      <c r="E988" s="321"/>
      <c r="F988" s="322"/>
      <c r="G988" s="315"/>
    </row>
    <row r="989" spans="1:7" s="32" customFormat="1" x14ac:dyDescent="0.25">
      <c r="A989" s="315"/>
      <c r="B989" s="315"/>
      <c r="C989" s="326"/>
      <c r="D989" s="315"/>
      <c r="E989" s="321"/>
      <c r="F989" s="322"/>
      <c r="G989" s="315"/>
    </row>
    <row r="990" spans="1:7" s="32" customFormat="1" x14ac:dyDescent="0.25">
      <c r="A990" s="315"/>
      <c r="B990" s="315"/>
      <c r="C990" s="326"/>
      <c r="D990" s="315"/>
      <c r="E990" s="321"/>
      <c r="F990" s="322"/>
      <c r="G990" s="315"/>
    </row>
    <row r="991" spans="1:7" s="32" customFormat="1" x14ac:dyDescent="0.25">
      <c r="A991" s="315"/>
      <c r="B991" s="315"/>
      <c r="C991" s="326"/>
      <c r="D991" s="315"/>
      <c r="E991" s="321"/>
      <c r="F991" s="322"/>
      <c r="G991" s="315"/>
    </row>
    <row r="992" spans="1:7" s="32" customFormat="1" x14ac:dyDescent="0.25">
      <c r="A992" s="315"/>
      <c r="B992" s="315"/>
      <c r="C992" s="326"/>
      <c r="D992" s="315"/>
      <c r="E992" s="321"/>
      <c r="F992" s="322"/>
      <c r="G992" s="315"/>
    </row>
    <row r="993" spans="1:7" s="32" customFormat="1" x14ac:dyDescent="0.25">
      <c r="A993" s="315"/>
      <c r="B993" s="315"/>
      <c r="C993" s="326"/>
      <c r="D993" s="315"/>
      <c r="E993" s="321"/>
      <c r="F993" s="322"/>
      <c r="G993" s="315"/>
    </row>
    <row r="994" spans="1:7" s="32" customFormat="1" x14ac:dyDescent="0.25">
      <c r="A994" s="315"/>
      <c r="B994" s="315"/>
      <c r="C994" s="326"/>
      <c r="D994" s="315"/>
      <c r="E994" s="321"/>
      <c r="F994" s="322"/>
      <c r="G994" s="315"/>
    </row>
    <row r="995" spans="1:7" s="32" customFormat="1" x14ac:dyDescent="0.25">
      <c r="A995" s="315"/>
      <c r="B995" s="315"/>
      <c r="C995" s="326"/>
      <c r="D995" s="315"/>
      <c r="E995" s="321"/>
      <c r="F995" s="322"/>
      <c r="G995" s="315"/>
    </row>
    <row r="996" spans="1:7" s="32" customFormat="1" x14ac:dyDescent="0.25">
      <c r="A996" s="315"/>
      <c r="B996" s="315"/>
      <c r="C996" s="326"/>
      <c r="D996" s="315"/>
      <c r="E996" s="321"/>
      <c r="F996" s="322"/>
      <c r="G996" s="315"/>
    </row>
    <row r="997" spans="1:7" s="32" customFormat="1" x14ac:dyDescent="0.25">
      <c r="A997" s="315"/>
      <c r="B997" s="315"/>
      <c r="C997" s="326"/>
      <c r="D997" s="315"/>
      <c r="E997" s="321"/>
      <c r="F997" s="322"/>
      <c r="G997" s="315"/>
    </row>
    <row r="998" spans="1:7" s="32" customFormat="1" x14ac:dyDescent="0.25">
      <c r="A998" s="315"/>
      <c r="B998" s="315"/>
      <c r="C998" s="326"/>
      <c r="D998" s="315"/>
      <c r="E998" s="321"/>
      <c r="F998" s="322"/>
      <c r="G998" s="315"/>
    </row>
    <row r="999" spans="1:7" s="32" customFormat="1" x14ac:dyDescent="0.25">
      <c r="A999" s="315"/>
      <c r="B999" s="315"/>
      <c r="C999" s="326"/>
      <c r="D999" s="315"/>
      <c r="E999" s="321"/>
      <c r="F999" s="322"/>
      <c r="G999" s="315"/>
    </row>
    <row r="1000" spans="1:7" s="32" customFormat="1" x14ac:dyDescent="0.25">
      <c r="A1000" s="315"/>
      <c r="B1000" s="315"/>
      <c r="C1000" s="326"/>
      <c r="D1000" s="315"/>
      <c r="E1000" s="321"/>
      <c r="F1000" s="322"/>
      <c r="G1000" s="315"/>
    </row>
    <row r="1001" spans="1:7" s="32" customFormat="1" x14ac:dyDescent="0.25">
      <c r="A1001" s="315"/>
      <c r="B1001" s="315"/>
      <c r="C1001" s="326"/>
      <c r="D1001" s="315"/>
      <c r="E1001" s="321"/>
      <c r="F1001" s="322"/>
      <c r="G1001" s="315"/>
    </row>
    <row r="1002" spans="1:7" s="32" customFormat="1" x14ac:dyDescent="0.25">
      <c r="A1002" s="315"/>
      <c r="B1002" s="315"/>
      <c r="C1002" s="326"/>
      <c r="D1002" s="315"/>
      <c r="E1002" s="321"/>
      <c r="F1002" s="322"/>
      <c r="G1002" s="315"/>
    </row>
    <row r="1003" spans="1:7" s="32" customFormat="1" x14ac:dyDescent="0.25">
      <c r="A1003" s="315"/>
      <c r="B1003" s="315"/>
      <c r="C1003" s="326"/>
      <c r="D1003" s="315"/>
      <c r="E1003" s="321"/>
      <c r="F1003" s="322"/>
      <c r="G1003" s="315"/>
    </row>
    <row r="1004" spans="1:7" s="32" customFormat="1" x14ac:dyDescent="0.25">
      <c r="A1004" s="315"/>
      <c r="B1004" s="315"/>
      <c r="C1004" s="326"/>
      <c r="D1004" s="315"/>
      <c r="E1004" s="321"/>
      <c r="F1004" s="322"/>
      <c r="G1004" s="315"/>
    </row>
    <row r="1005" spans="1:7" s="32" customFormat="1" x14ac:dyDescent="0.25">
      <c r="A1005" s="315"/>
      <c r="B1005" s="315"/>
      <c r="C1005" s="326"/>
      <c r="D1005" s="315"/>
      <c r="E1005" s="321"/>
      <c r="F1005" s="322"/>
      <c r="G1005" s="315"/>
    </row>
    <row r="1006" spans="1:7" s="32" customFormat="1" x14ac:dyDescent="0.25">
      <c r="A1006" s="315"/>
      <c r="B1006" s="315"/>
      <c r="C1006" s="326"/>
      <c r="D1006" s="315"/>
      <c r="E1006" s="321"/>
      <c r="F1006" s="322"/>
      <c r="G1006" s="315"/>
    </row>
    <row r="1007" spans="1:7" s="32" customFormat="1" x14ac:dyDescent="0.25">
      <c r="A1007" s="315"/>
      <c r="B1007" s="315"/>
      <c r="C1007" s="326"/>
      <c r="D1007" s="315"/>
      <c r="E1007" s="321"/>
      <c r="F1007" s="322"/>
      <c r="G1007" s="315"/>
    </row>
    <row r="1008" spans="1:7" s="32" customFormat="1" x14ac:dyDescent="0.25">
      <c r="A1008" s="315"/>
      <c r="B1008" s="315"/>
      <c r="C1008" s="326"/>
      <c r="D1008" s="315"/>
      <c r="E1008" s="321"/>
      <c r="F1008" s="322"/>
      <c r="G1008" s="315"/>
    </row>
    <row r="1009" spans="1:7" s="32" customFormat="1" x14ac:dyDescent="0.25">
      <c r="A1009" s="315"/>
      <c r="B1009" s="315"/>
      <c r="C1009" s="326"/>
      <c r="D1009" s="315"/>
      <c r="E1009" s="321"/>
      <c r="F1009" s="322"/>
      <c r="G1009" s="315"/>
    </row>
    <row r="1010" spans="1:7" s="32" customFormat="1" x14ac:dyDescent="0.25">
      <c r="A1010" s="315"/>
      <c r="B1010" s="315"/>
      <c r="C1010" s="326"/>
      <c r="D1010" s="315"/>
      <c r="E1010" s="321"/>
      <c r="F1010" s="322"/>
      <c r="G1010" s="315"/>
    </row>
    <row r="1011" spans="1:7" s="32" customFormat="1" x14ac:dyDescent="0.25">
      <c r="A1011" s="315"/>
      <c r="B1011" s="315"/>
      <c r="C1011" s="326"/>
      <c r="D1011" s="315"/>
      <c r="E1011" s="321"/>
      <c r="F1011" s="322"/>
      <c r="G1011" s="315"/>
    </row>
    <row r="1012" spans="1:7" s="32" customFormat="1" x14ac:dyDescent="0.25">
      <c r="A1012" s="315"/>
      <c r="B1012" s="315"/>
      <c r="C1012" s="326"/>
      <c r="D1012" s="315"/>
      <c r="E1012" s="321"/>
      <c r="F1012" s="322"/>
      <c r="G1012" s="315"/>
    </row>
    <row r="1013" spans="1:7" s="32" customFormat="1" x14ac:dyDescent="0.25">
      <c r="A1013" s="315"/>
      <c r="B1013" s="315"/>
      <c r="C1013" s="326"/>
      <c r="D1013" s="315"/>
      <c r="E1013" s="321"/>
      <c r="F1013" s="322"/>
      <c r="G1013" s="315"/>
    </row>
    <row r="1014" spans="1:7" s="32" customFormat="1" x14ac:dyDescent="0.25">
      <c r="A1014" s="315"/>
      <c r="B1014" s="315"/>
      <c r="C1014" s="326"/>
      <c r="D1014" s="315"/>
      <c r="E1014" s="321"/>
      <c r="F1014" s="322"/>
      <c r="G1014" s="315"/>
    </row>
    <row r="1015" spans="1:7" s="32" customFormat="1" x14ac:dyDescent="0.25">
      <c r="A1015" s="315"/>
      <c r="B1015" s="315"/>
      <c r="C1015" s="326"/>
      <c r="D1015" s="315"/>
      <c r="E1015" s="321"/>
      <c r="F1015" s="322"/>
      <c r="G1015" s="315"/>
    </row>
    <row r="1016" spans="1:7" s="32" customFormat="1" x14ac:dyDescent="0.25">
      <c r="A1016" s="315"/>
      <c r="B1016" s="315"/>
      <c r="C1016" s="326"/>
      <c r="D1016" s="315"/>
      <c r="E1016" s="321"/>
      <c r="F1016" s="322"/>
      <c r="G1016" s="315"/>
    </row>
    <row r="1017" spans="1:7" s="32" customFormat="1" x14ac:dyDescent="0.25">
      <c r="A1017" s="315"/>
      <c r="B1017" s="315"/>
      <c r="C1017" s="326"/>
      <c r="D1017" s="315"/>
      <c r="E1017" s="321"/>
      <c r="F1017" s="322"/>
      <c r="G1017" s="315"/>
    </row>
    <row r="1018" spans="1:7" s="32" customFormat="1" x14ac:dyDescent="0.25">
      <c r="A1018" s="315"/>
      <c r="B1018" s="315"/>
      <c r="C1018" s="326"/>
      <c r="D1018" s="315"/>
      <c r="E1018" s="321"/>
      <c r="F1018" s="322"/>
      <c r="G1018" s="315"/>
    </row>
    <row r="1019" spans="1:7" s="32" customFormat="1" x14ac:dyDescent="0.25">
      <c r="A1019" s="315"/>
      <c r="B1019" s="315"/>
      <c r="C1019" s="326"/>
      <c r="D1019" s="315"/>
      <c r="E1019" s="321"/>
      <c r="F1019" s="322"/>
      <c r="G1019" s="315"/>
    </row>
    <row r="1020" spans="1:7" s="32" customFormat="1" x14ac:dyDescent="0.25">
      <c r="A1020" s="315"/>
      <c r="B1020" s="315"/>
      <c r="C1020" s="326"/>
      <c r="D1020" s="315"/>
      <c r="E1020" s="321"/>
      <c r="F1020" s="322"/>
      <c r="G1020" s="315"/>
    </row>
    <row r="1021" spans="1:7" s="32" customFormat="1" x14ac:dyDescent="0.25">
      <c r="A1021" s="315"/>
      <c r="B1021" s="315"/>
      <c r="C1021" s="326"/>
      <c r="D1021" s="315"/>
      <c r="E1021" s="321"/>
      <c r="F1021" s="322"/>
      <c r="G1021" s="315"/>
    </row>
    <row r="1022" spans="1:7" s="32" customFormat="1" x14ac:dyDescent="0.25">
      <c r="A1022" s="315"/>
      <c r="B1022" s="315"/>
      <c r="C1022" s="326"/>
      <c r="D1022" s="315"/>
      <c r="E1022" s="321"/>
      <c r="F1022" s="322"/>
      <c r="G1022" s="315"/>
    </row>
    <row r="1023" spans="1:7" s="32" customFormat="1" x14ac:dyDescent="0.25">
      <c r="A1023" s="315"/>
      <c r="B1023" s="315"/>
      <c r="C1023" s="326"/>
      <c r="D1023" s="315"/>
      <c r="E1023" s="321"/>
      <c r="F1023" s="322"/>
      <c r="G1023" s="315"/>
    </row>
    <row r="1024" spans="1:7" s="32" customFormat="1" x14ac:dyDescent="0.25">
      <c r="A1024" s="315"/>
      <c r="B1024" s="315"/>
      <c r="C1024" s="326"/>
      <c r="D1024" s="315"/>
      <c r="E1024" s="321"/>
      <c r="F1024" s="322"/>
      <c r="G1024" s="315"/>
    </row>
    <row r="1025" spans="1:7" s="32" customFormat="1" x14ac:dyDescent="0.25">
      <c r="A1025" s="315"/>
      <c r="B1025" s="315"/>
      <c r="C1025" s="326"/>
      <c r="D1025" s="315"/>
      <c r="E1025" s="321"/>
      <c r="F1025" s="322"/>
      <c r="G1025" s="315"/>
    </row>
    <row r="1026" spans="1:7" s="32" customFormat="1" x14ac:dyDescent="0.25">
      <c r="A1026" s="315"/>
      <c r="B1026" s="315"/>
      <c r="C1026" s="326"/>
      <c r="D1026" s="315"/>
      <c r="E1026" s="321"/>
      <c r="F1026" s="322"/>
      <c r="G1026" s="315"/>
    </row>
    <row r="1027" spans="1:7" s="32" customFormat="1" x14ac:dyDescent="0.25">
      <c r="A1027" s="315"/>
      <c r="B1027" s="315"/>
      <c r="C1027" s="326"/>
      <c r="D1027" s="315"/>
      <c r="E1027" s="321"/>
      <c r="F1027" s="322"/>
      <c r="G1027" s="315"/>
    </row>
    <row r="1028" spans="1:7" s="32" customFormat="1" x14ac:dyDescent="0.25">
      <c r="A1028" s="315"/>
      <c r="B1028" s="315"/>
      <c r="C1028" s="326"/>
      <c r="D1028" s="315"/>
      <c r="E1028" s="321"/>
      <c r="F1028" s="322"/>
      <c r="G1028" s="315"/>
    </row>
    <row r="1029" spans="1:7" s="32" customFormat="1" x14ac:dyDescent="0.25">
      <c r="A1029" s="315"/>
      <c r="B1029" s="315"/>
      <c r="C1029" s="326"/>
      <c r="D1029" s="315"/>
      <c r="E1029" s="321"/>
      <c r="F1029" s="322"/>
      <c r="G1029" s="315"/>
    </row>
    <row r="1030" spans="1:7" s="32" customFormat="1" x14ac:dyDescent="0.25">
      <c r="A1030" s="315"/>
      <c r="B1030" s="315"/>
      <c r="C1030" s="326"/>
      <c r="D1030" s="315"/>
      <c r="E1030" s="321"/>
      <c r="F1030" s="322"/>
      <c r="G1030" s="315"/>
    </row>
    <row r="1031" spans="1:7" s="32" customFormat="1" x14ac:dyDescent="0.25">
      <c r="A1031" s="315"/>
      <c r="B1031" s="315"/>
      <c r="C1031" s="326"/>
      <c r="D1031" s="315"/>
      <c r="E1031" s="321"/>
      <c r="F1031" s="322"/>
      <c r="G1031" s="315"/>
    </row>
    <row r="1032" spans="1:7" s="32" customFormat="1" x14ac:dyDescent="0.25">
      <c r="A1032" s="315"/>
      <c r="B1032" s="315"/>
      <c r="C1032" s="326"/>
      <c r="D1032" s="315"/>
      <c r="E1032" s="321"/>
      <c r="F1032" s="322"/>
      <c r="G1032" s="315"/>
    </row>
    <row r="1033" spans="1:7" s="32" customFormat="1" x14ac:dyDescent="0.25">
      <c r="A1033" s="315"/>
      <c r="B1033" s="315"/>
      <c r="C1033" s="326"/>
      <c r="D1033" s="315"/>
      <c r="E1033" s="321"/>
      <c r="F1033" s="322"/>
      <c r="G1033" s="315"/>
    </row>
    <row r="1034" spans="1:7" s="32" customFormat="1" x14ac:dyDescent="0.25">
      <c r="A1034" s="315"/>
      <c r="B1034" s="315"/>
      <c r="C1034" s="326"/>
      <c r="D1034" s="315"/>
      <c r="E1034" s="321"/>
      <c r="F1034" s="322"/>
      <c r="G1034" s="315"/>
    </row>
    <row r="1035" spans="1:7" s="32" customFormat="1" x14ac:dyDescent="0.25">
      <c r="A1035" s="315"/>
      <c r="B1035" s="315"/>
      <c r="C1035" s="326"/>
      <c r="D1035" s="315"/>
      <c r="E1035" s="321"/>
      <c r="F1035" s="322"/>
      <c r="G1035" s="315"/>
    </row>
    <row r="1036" spans="1:7" s="32" customFormat="1" x14ac:dyDescent="0.25">
      <c r="A1036" s="315"/>
      <c r="B1036" s="315"/>
      <c r="C1036" s="326"/>
      <c r="D1036" s="315"/>
      <c r="E1036" s="321"/>
      <c r="F1036" s="322"/>
      <c r="G1036" s="315"/>
    </row>
    <row r="1037" spans="1:7" s="32" customFormat="1" x14ac:dyDescent="0.25">
      <c r="A1037" s="315"/>
      <c r="B1037" s="315"/>
      <c r="C1037" s="326"/>
      <c r="D1037" s="315"/>
      <c r="E1037" s="321"/>
      <c r="F1037" s="322"/>
      <c r="G1037" s="315"/>
    </row>
    <row r="1038" spans="1:7" s="32" customFormat="1" x14ac:dyDescent="0.25">
      <c r="A1038" s="315"/>
      <c r="B1038" s="315"/>
      <c r="C1038" s="326"/>
      <c r="D1038" s="315"/>
      <c r="E1038" s="321"/>
      <c r="F1038" s="322"/>
      <c r="G1038" s="315"/>
    </row>
    <row r="1039" spans="1:7" s="32" customFormat="1" x14ac:dyDescent="0.25">
      <c r="A1039" s="315"/>
      <c r="B1039" s="315"/>
      <c r="C1039" s="326"/>
      <c r="D1039" s="315"/>
      <c r="E1039" s="321"/>
      <c r="F1039" s="322"/>
      <c r="G1039" s="315"/>
    </row>
    <row r="1040" spans="1:7" s="32" customFormat="1" x14ac:dyDescent="0.25">
      <c r="A1040" s="315"/>
      <c r="B1040" s="315"/>
      <c r="C1040" s="326"/>
      <c r="D1040" s="315"/>
      <c r="E1040" s="321"/>
      <c r="F1040" s="322"/>
      <c r="G1040" s="315"/>
    </row>
    <row r="1041" spans="1:7" s="32" customFormat="1" x14ac:dyDescent="0.25">
      <c r="A1041" s="315"/>
      <c r="B1041" s="315"/>
      <c r="C1041" s="326"/>
      <c r="D1041" s="315"/>
      <c r="E1041" s="321"/>
      <c r="F1041" s="322"/>
      <c r="G1041" s="315"/>
    </row>
    <row r="1042" spans="1:7" s="32" customFormat="1" x14ac:dyDescent="0.25">
      <c r="A1042" s="315"/>
      <c r="B1042" s="315"/>
      <c r="C1042" s="326"/>
      <c r="D1042" s="315"/>
      <c r="E1042" s="321"/>
      <c r="F1042" s="322"/>
      <c r="G1042" s="315"/>
    </row>
    <row r="1043" spans="1:7" s="32" customFormat="1" x14ac:dyDescent="0.25">
      <c r="A1043" s="315"/>
      <c r="B1043" s="315"/>
      <c r="C1043" s="326"/>
      <c r="D1043" s="315"/>
      <c r="E1043" s="321"/>
      <c r="F1043" s="322"/>
      <c r="G1043" s="315"/>
    </row>
    <row r="1044" spans="1:7" s="32" customFormat="1" x14ac:dyDescent="0.25">
      <c r="A1044" s="315"/>
      <c r="B1044" s="315"/>
      <c r="C1044" s="326"/>
      <c r="D1044" s="315"/>
      <c r="E1044" s="321"/>
      <c r="F1044" s="322"/>
      <c r="G1044" s="315"/>
    </row>
    <row r="1045" spans="1:7" s="32" customFormat="1" x14ac:dyDescent="0.25">
      <c r="A1045" s="315"/>
      <c r="B1045" s="315"/>
      <c r="C1045" s="326"/>
      <c r="D1045" s="315"/>
      <c r="E1045" s="321"/>
      <c r="F1045" s="322"/>
      <c r="G1045" s="315"/>
    </row>
    <row r="1046" spans="1:7" s="32" customFormat="1" x14ac:dyDescent="0.25">
      <c r="A1046" s="315"/>
      <c r="B1046" s="315"/>
      <c r="C1046" s="326"/>
      <c r="D1046" s="315"/>
      <c r="E1046" s="321"/>
      <c r="F1046" s="322"/>
      <c r="G1046" s="315"/>
    </row>
    <row r="1047" spans="1:7" s="32" customFormat="1" x14ac:dyDescent="0.25">
      <c r="A1047" s="315"/>
      <c r="B1047" s="315"/>
      <c r="C1047" s="326"/>
      <c r="D1047" s="315"/>
      <c r="E1047" s="321"/>
      <c r="F1047" s="322"/>
      <c r="G1047" s="315"/>
    </row>
    <row r="1048" spans="1:7" s="32" customFormat="1" x14ac:dyDescent="0.25">
      <c r="A1048" s="315"/>
      <c r="B1048" s="315"/>
      <c r="C1048" s="326"/>
      <c r="D1048" s="315"/>
      <c r="E1048" s="321"/>
      <c r="F1048" s="322"/>
      <c r="G1048" s="315"/>
    </row>
    <row r="1049" spans="1:7" s="32" customFormat="1" x14ac:dyDescent="0.25">
      <c r="A1049" s="315"/>
      <c r="B1049" s="315"/>
      <c r="C1049" s="326"/>
      <c r="D1049" s="315"/>
      <c r="E1049" s="321"/>
      <c r="F1049" s="322"/>
      <c r="G1049" s="315"/>
    </row>
    <row r="1050" spans="1:7" s="32" customFormat="1" x14ac:dyDescent="0.25">
      <c r="A1050" s="315"/>
      <c r="B1050" s="315"/>
      <c r="C1050" s="326"/>
      <c r="D1050" s="315"/>
      <c r="E1050" s="321"/>
      <c r="F1050" s="322"/>
      <c r="G1050" s="315"/>
    </row>
    <row r="1051" spans="1:7" s="32" customFormat="1" x14ac:dyDescent="0.25">
      <c r="A1051" s="315"/>
      <c r="B1051" s="315"/>
      <c r="C1051" s="326"/>
      <c r="D1051" s="315"/>
      <c r="E1051" s="321"/>
      <c r="F1051" s="322"/>
      <c r="G1051" s="315"/>
    </row>
    <row r="1052" spans="1:7" s="32" customFormat="1" x14ac:dyDescent="0.25">
      <c r="A1052" s="315"/>
      <c r="B1052" s="315"/>
      <c r="C1052" s="326"/>
      <c r="D1052" s="315"/>
      <c r="E1052" s="321"/>
      <c r="F1052" s="322"/>
      <c r="G1052" s="315"/>
    </row>
    <row r="1053" spans="1:7" s="32" customFormat="1" x14ac:dyDescent="0.25">
      <c r="A1053" s="315"/>
      <c r="B1053" s="315"/>
      <c r="C1053" s="326"/>
      <c r="D1053" s="315"/>
      <c r="E1053" s="321"/>
      <c r="F1053" s="322"/>
      <c r="G1053" s="315"/>
    </row>
    <row r="1054" spans="1:7" s="32" customFormat="1" x14ac:dyDescent="0.25">
      <c r="A1054" s="315"/>
      <c r="B1054" s="315"/>
      <c r="C1054" s="326"/>
      <c r="D1054" s="315"/>
      <c r="E1054" s="321"/>
      <c r="F1054" s="322"/>
      <c r="G1054" s="315"/>
    </row>
    <row r="1055" spans="1:7" s="32" customFormat="1" x14ac:dyDescent="0.25">
      <c r="A1055" s="315"/>
      <c r="B1055" s="315"/>
      <c r="C1055" s="326"/>
      <c r="D1055" s="315"/>
      <c r="E1055" s="321"/>
      <c r="F1055" s="322"/>
      <c r="G1055" s="315"/>
    </row>
    <row r="1056" spans="1:7" s="32" customFormat="1" x14ac:dyDescent="0.25">
      <c r="A1056" s="315"/>
      <c r="B1056" s="315"/>
      <c r="C1056" s="326"/>
      <c r="D1056" s="315"/>
      <c r="E1056" s="321"/>
      <c r="F1056" s="322"/>
      <c r="G1056" s="315"/>
    </row>
    <row r="1057" spans="1:7" s="32" customFormat="1" x14ac:dyDescent="0.25">
      <c r="A1057" s="315"/>
      <c r="B1057" s="315"/>
      <c r="C1057" s="326"/>
      <c r="D1057" s="315"/>
      <c r="E1057" s="321"/>
      <c r="F1057" s="322"/>
      <c r="G1057" s="315"/>
    </row>
    <row r="1058" spans="1:7" s="32" customFormat="1" x14ac:dyDescent="0.25">
      <c r="A1058" s="315"/>
      <c r="B1058" s="315"/>
      <c r="C1058" s="326"/>
      <c r="D1058" s="315"/>
      <c r="E1058" s="321"/>
      <c r="F1058" s="322"/>
      <c r="G1058" s="315"/>
    </row>
    <row r="1059" spans="1:7" s="32" customFormat="1" x14ac:dyDescent="0.25">
      <c r="A1059" s="315"/>
      <c r="B1059" s="315"/>
      <c r="C1059" s="326"/>
      <c r="D1059" s="315"/>
      <c r="E1059" s="321"/>
      <c r="F1059" s="322"/>
      <c r="G1059" s="315"/>
    </row>
    <row r="1060" spans="1:7" s="32" customFormat="1" x14ac:dyDescent="0.25">
      <c r="A1060" s="315"/>
      <c r="B1060" s="315"/>
      <c r="C1060" s="326"/>
      <c r="D1060" s="315"/>
      <c r="E1060" s="321"/>
      <c r="F1060" s="322"/>
      <c r="G1060" s="315"/>
    </row>
    <row r="1061" spans="1:7" s="32" customFormat="1" x14ac:dyDescent="0.25">
      <c r="A1061" s="315"/>
      <c r="B1061" s="315"/>
      <c r="C1061" s="326"/>
      <c r="D1061" s="315"/>
      <c r="E1061" s="321"/>
      <c r="F1061" s="322"/>
      <c r="G1061" s="315"/>
    </row>
    <row r="1062" spans="1:7" s="32" customFormat="1" x14ac:dyDescent="0.25">
      <c r="A1062" s="315"/>
      <c r="B1062" s="315"/>
      <c r="C1062" s="326"/>
      <c r="D1062" s="315"/>
      <c r="E1062" s="321"/>
      <c r="F1062" s="322"/>
      <c r="G1062" s="315"/>
    </row>
    <row r="1063" spans="1:7" s="32" customFormat="1" x14ac:dyDescent="0.25">
      <c r="A1063" s="315"/>
      <c r="B1063" s="315"/>
      <c r="C1063" s="326"/>
      <c r="D1063" s="315"/>
      <c r="E1063" s="321"/>
      <c r="F1063" s="322"/>
      <c r="G1063" s="315"/>
    </row>
    <row r="1064" spans="1:7" s="32" customFormat="1" x14ac:dyDescent="0.25">
      <c r="A1064" s="315"/>
      <c r="B1064" s="315"/>
      <c r="C1064" s="326"/>
      <c r="D1064" s="315"/>
      <c r="E1064" s="321"/>
      <c r="F1064" s="322"/>
      <c r="G1064" s="315"/>
    </row>
    <row r="1065" spans="1:7" s="32" customFormat="1" x14ac:dyDescent="0.25">
      <c r="A1065" s="315"/>
      <c r="B1065" s="315"/>
      <c r="C1065" s="326"/>
      <c r="D1065" s="315"/>
      <c r="E1065" s="321"/>
      <c r="F1065" s="322"/>
      <c r="G1065" s="315"/>
    </row>
    <row r="1066" spans="1:7" s="32" customFormat="1" x14ac:dyDescent="0.25">
      <c r="A1066" s="315"/>
      <c r="B1066" s="315"/>
      <c r="C1066" s="326"/>
      <c r="D1066" s="315"/>
      <c r="E1066" s="321"/>
      <c r="F1066" s="322"/>
      <c r="G1066" s="315"/>
    </row>
    <row r="1067" spans="1:7" s="32" customFormat="1" x14ac:dyDescent="0.25">
      <c r="A1067" s="315"/>
      <c r="B1067" s="315"/>
      <c r="C1067" s="326"/>
      <c r="D1067" s="315"/>
      <c r="E1067" s="321"/>
      <c r="F1067" s="322"/>
      <c r="G1067" s="315"/>
    </row>
    <row r="1068" spans="1:7" s="32" customFormat="1" x14ac:dyDescent="0.25">
      <c r="A1068" s="315"/>
      <c r="B1068" s="315"/>
      <c r="C1068" s="326"/>
      <c r="D1068" s="315"/>
      <c r="E1068" s="321"/>
      <c r="F1068" s="322"/>
      <c r="G1068" s="315"/>
    </row>
    <row r="1069" spans="1:7" s="32" customFormat="1" x14ac:dyDescent="0.25">
      <c r="A1069" s="315"/>
      <c r="B1069" s="315"/>
      <c r="C1069" s="326"/>
      <c r="D1069" s="315"/>
      <c r="E1069" s="321"/>
      <c r="F1069" s="322"/>
      <c r="G1069" s="315"/>
    </row>
    <row r="1070" spans="1:7" s="32" customFormat="1" x14ac:dyDescent="0.25">
      <c r="A1070" s="315"/>
      <c r="B1070" s="315"/>
      <c r="C1070" s="326"/>
      <c r="D1070" s="315"/>
      <c r="E1070" s="321"/>
      <c r="F1070" s="322"/>
      <c r="G1070" s="315"/>
    </row>
    <row r="1071" spans="1:7" s="32" customFormat="1" x14ac:dyDescent="0.25">
      <c r="A1071" s="315"/>
      <c r="B1071" s="315"/>
      <c r="C1071" s="326"/>
      <c r="D1071" s="315"/>
      <c r="E1071" s="321"/>
      <c r="F1071" s="322"/>
      <c r="G1071" s="315"/>
    </row>
    <row r="1072" spans="1:7" s="32" customFormat="1" x14ac:dyDescent="0.25">
      <c r="A1072" s="315"/>
      <c r="B1072" s="315"/>
      <c r="C1072" s="326"/>
      <c r="D1072" s="315"/>
      <c r="E1072" s="321"/>
      <c r="F1072" s="322"/>
      <c r="G1072" s="315"/>
    </row>
    <row r="1073" spans="1:7" s="32" customFormat="1" x14ac:dyDescent="0.25">
      <c r="A1073" s="315"/>
      <c r="B1073" s="315"/>
      <c r="C1073" s="326"/>
      <c r="D1073" s="315"/>
      <c r="E1073" s="321"/>
      <c r="F1073" s="322"/>
      <c r="G1073" s="315"/>
    </row>
    <row r="1074" spans="1:7" s="32" customFormat="1" x14ac:dyDescent="0.25">
      <c r="A1074" s="315"/>
      <c r="B1074" s="315"/>
      <c r="C1074" s="326"/>
      <c r="D1074" s="315"/>
      <c r="E1074" s="321"/>
      <c r="F1074" s="322"/>
      <c r="G1074" s="315"/>
    </row>
    <row r="1075" spans="1:7" s="32" customFormat="1" x14ac:dyDescent="0.25">
      <c r="A1075" s="315"/>
      <c r="B1075" s="315"/>
      <c r="C1075" s="326"/>
      <c r="D1075" s="315"/>
      <c r="E1075" s="321"/>
      <c r="F1075" s="322"/>
      <c r="G1075" s="315"/>
    </row>
    <row r="1076" spans="1:7" s="32" customFormat="1" x14ac:dyDescent="0.25">
      <c r="A1076" s="315"/>
      <c r="B1076" s="315"/>
      <c r="C1076" s="326"/>
      <c r="D1076" s="315"/>
      <c r="E1076" s="321"/>
      <c r="F1076" s="322"/>
      <c r="G1076" s="315"/>
    </row>
    <row r="1077" spans="1:7" s="32" customFormat="1" x14ac:dyDescent="0.25">
      <c r="A1077" s="315"/>
      <c r="B1077" s="315"/>
      <c r="C1077" s="326"/>
      <c r="D1077" s="315"/>
      <c r="E1077" s="321"/>
      <c r="F1077" s="322"/>
      <c r="G1077" s="315"/>
    </row>
    <row r="1078" spans="1:7" s="32" customFormat="1" x14ac:dyDescent="0.25">
      <c r="A1078" s="315"/>
      <c r="B1078" s="315"/>
      <c r="C1078" s="326"/>
      <c r="D1078" s="315"/>
      <c r="E1078" s="321"/>
      <c r="F1078" s="322"/>
      <c r="G1078" s="315"/>
    </row>
    <row r="1079" spans="1:7" s="32" customFormat="1" x14ac:dyDescent="0.25">
      <c r="A1079" s="315"/>
      <c r="B1079" s="315"/>
      <c r="C1079" s="326"/>
      <c r="D1079" s="315"/>
      <c r="E1079" s="321"/>
      <c r="F1079" s="322"/>
      <c r="G1079" s="315"/>
    </row>
    <row r="1080" spans="1:7" s="32" customFormat="1" x14ac:dyDescent="0.25">
      <c r="A1080" s="315"/>
      <c r="B1080" s="315"/>
      <c r="C1080" s="326"/>
      <c r="D1080" s="315"/>
      <c r="E1080" s="321"/>
      <c r="F1080" s="322"/>
      <c r="G1080" s="315"/>
    </row>
    <row r="1081" spans="1:7" s="32" customFormat="1" x14ac:dyDescent="0.25">
      <c r="A1081" s="315"/>
      <c r="B1081" s="315"/>
      <c r="C1081" s="326"/>
      <c r="D1081" s="315"/>
      <c r="E1081" s="321"/>
      <c r="F1081" s="322"/>
      <c r="G1081" s="315"/>
    </row>
    <row r="1082" spans="1:7" s="32" customFormat="1" x14ac:dyDescent="0.25">
      <c r="A1082" s="315"/>
      <c r="B1082" s="315"/>
      <c r="C1082" s="326"/>
      <c r="D1082" s="315"/>
      <c r="E1082" s="321"/>
      <c r="F1082" s="322"/>
      <c r="G1082" s="315"/>
    </row>
    <row r="1083" spans="1:7" s="32" customFormat="1" x14ac:dyDescent="0.25">
      <c r="A1083" s="315"/>
      <c r="B1083" s="315"/>
      <c r="C1083" s="326"/>
      <c r="D1083" s="315"/>
      <c r="E1083" s="321"/>
      <c r="F1083" s="322"/>
      <c r="G1083" s="315"/>
    </row>
    <row r="1084" spans="1:7" s="32" customFormat="1" x14ac:dyDescent="0.25">
      <c r="A1084" s="315"/>
      <c r="B1084" s="315"/>
      <c r="C1084" s="326"/>
      <c r="D1084" s="315"/>
      <c r="E1084" s="321"/>
      <c r="F1084" s="322"/>
      <c r="G1084" s="315"/>
    </row>
    <row r="1085" spans="1:7" s="32" customFormat="1" x14ac:dyDescent="0.25">
      <c r="A1085" s="315"/>
      <c r="B1085" s="315"/>
      <c r="C1085" s="326"/>
      <c r="D1085" s="315"/>
      <c r="E1085" s="321"/>
      <c r="F1085" s="322"/>
      <c r="G1085" s="315"/>
    </row>
    <row r="1086" spans="1:7" s="32" customFormat="1" x14ac:dyDescent="0.25">
      <c r="A1086" s="315"/>
      <c r="B1086" s="315"/>
      <c r="C1086" s="326"/>
      <c r="D1086" s="315"/>
      <c r="E1086" s="321"/>
      <c r="F1086" s="322"/>
      <c r="G1086" s="315"/>
    </row>
    <row r="1087" spans="1:7" s="32" customFormat="1" x14ac:dyDescent="0.25">
      <c r="A1087" s="315"/>
      <c r="B1087" s="315"/>
      <c r="C1087" s="326"/>
      <c r="D1087" s="315"/>
      <c r="E1087" s="321"/>
      <c r="F1087" s="322"/>
      <c r="G1087" s="315"/>
    </row>
    <row r="1088" spans="1:7" s="32" customFormat="1" x14ac:dyDescent="0.25">
      <c r="A1088" s="315"/>
      <c r="B1088" s="315"/>
      <c r="C1088" s="326"/>
      <c r="D1088" s="315"/>
      <c r="E1088" s="321"/>
      <c r="F1088" s="322"/>
      <c r="G1088" s="315"/>
    </row>
    <row r="1089" spans="1:7" s="32" customFormat="1" x14ac:dyDescent="0.25">
      <c r="A1089" s="315"/>
      <c r="B1089" s="315"/>
      <c r="C1089" s="326"/>
      <c r="D1089" s="315"/>
      <c r="E1089" s="321"/>
      <c r="F1089" s="322"/>
      <c r="G1089" s="315"/>
    </row>
    <row r="1090" spans="1:7" s="32" customFormat="1" x14ac:dyDescent="0.25">
      <c r="A1090" s="315"/>
      <c r="B1090" s="315"/>
      <c r="C1090" s="326"/>
      <c r="D1090" s="315"/>
      <c r="E1090" s="321"/>
      <c r="F1090" s="322"/>
      <c r="G1090" s="315"/>
    </row>
    <row r="1091" spans="1:7" s="32" customFormat="1" x14ac:dyDescent="0.25">
      <c r="A1091" s="315"/>
      <c r="B1091" s="315"/>
      <c r="C1091" s="326"/>
      <c r="D1091" s="315"/>
      <c r="E1091" s="321"/>
      <c r="F1091" s="322"/>
      <c r="G1091" s="315"/>
    </row>
    <row r="1092" spans="1:7" s="32" customFormat="1" x14ac:dyDescent="0.25">
      <c r="A1092" s="315"/>
      <c r="B1092" s="315"/>
      <c r="C1092" s="326"/>
      <c r="D1092" s="315"/>
      <c r="E1092" s="321"/>
      <c r="F1092" s="322"/>
      <c r="G1092" s="315"/>
    </row>
    <row r="1093" spans="1:7" s="32" customFormat="1" x14ac:dyDescent="0.25">
      <c r="A1093" s="315"/>
      <c r="B1093" s="315"/>
      <c r="C1093" s="326"/>
      <c r="D1093" s="315"/>
      <c r="E1093" s="321"/>
      <c r="F1093" s="322"/>
      <c r="G1093" s="315"/>
    </row>
    <row r="1094" spans="1:7" s="32" customFormat="1" x14ac:dyDescent="0.25">
      <c r="A1094" s="315"/>
      <c r="B1094" s="315"/>
      <c r="C1094" s="326"/>
      <c r="D1094" s="315"/>
      <c r="E1094" s="321"/>
      <c r="F1094" s="322"/>
      <c r="G1094" s="315"/>
    </row>
    <row r="1095" spans="1:7" s="32" customFormat="1" x14ac:dyDescent="0.25">
      <c r="A1095" s="315"/>
      <c r="B1095" s="315"/>
      <c r="C1095" s="326"/>
      <c r="D1095" s="315"/>
      <c r="E1095" s="321"/>
      <c r="F1095" s="322"/>
      <c r="G1095" s="315"/>
    </row>
    <row r="1096" spans="1:7" s="32" customFormat="1" x14ac:dyDescent="0.25">
      <c r="A1096" s="315"/>
      <c r="B1096" s="315"/>
      <c r="C1096" s="326"/>
      <c r="D1096" s="315"/>
      <c r="E1096" s="321"/>
      <c r="F1096" s="322"/>
      <c r="G1096" s="315"/>
    </row>
    <row r="1097" spans="1:7" s="32" customFormat="1" x14ac:dyDescent="0.25">
      <c r="A1097" s="315"/>
      <c r="B1097" s="315"/>
      <c r="C1097" s="326"/>
      <c r="D1097" s="315"/>
      <c r="E1097" s="321"/>
      <c r="F1097" s="322"/>
      <c r="G1097" s="315"/>
    </row>
    <row r="1098" spans="1:7" s="32" customFormat="1" x14ac:dyDescent="0.25">
      <c r="A1098" s="315"/>
      <c r="B1098" s="315"/>
      <c r="C1098" s="326"/>
      <c r="D1098" s="315"/>
      <c r="E1098" s="321"/>
      <c r="F1098" s="322"/>
      <c r="G1098" s="315"/>
    </row>
    <row r="1099" spans="1:7" s="32" customFormat="1" x14ac:dyDescent="0.25">
      <c r="A1099" s="315"/>
      <c r="B1099" s="315"/>
      <c r="C1099" s="326"/>
      <c r="D1099" s="315"/>
      <c r="E1099" s="321"/>
      <c r="F1099" s="322"/>
      <c r="G1099" s="315"/>
    </row>
    <row r="1100" spans="1:7" s="32" customFormat="1" x14ac:dyDescent="0.25">
      <c r="A1100" s="315"/>
      <c r="B1100" s="315"/>
      <c r="C1100" s="326"/>
      <c r="D1100" s="315"/>
      <c r="E1100" s="321"/>
      <c r="F1100" s="322"/>
      <c r="G1100" s="315"/>
    </row>
    <row r="1101" spans="1:7" s="32" customFormat="1" x14ac:dyDescent="0.25">
      <c r="A1101" s="315"/>
      <c r="B1101" s="315"/>
      <c r="C1101" s="326"/>
      <c r="D1101" s="315"/>
      <c r="E1101" s="321"/>
      <c r="F1101" s="322"/>
      <c r="G1101" s="315"/>
    </row>
    <row r="1102" spans="1:7" s="32" customFormat="1" x14ac:dyDescent="0.25">
      <c r="A1102" s="315"/>
      <c r="B1102" s="315"/>
      <c r="C1102" s="326"/>
      <c r="D1102" s="315"/>
      <c r="E1102" s="321"/>
      <c r="F1102" s="322"/>
      <c r="G1102" s="315"/>
    </row>
    <row r="1103" spans="1:7" s="32" customFormat="1" x14ac:dyDescent="0.25">
      <c r="A1103" s="315"/>
      <c r="B1103" s="315"/>
      <c r="C1103" s="326"/>
      <c r="D1103" s="315"/>
      <c r="E1103" s="321"/>
      <c r="F1103" s="322"/>
      <c r="G1103" s="315"/>
    </row>
    <row r="1104" spans="1:7" s="32" customFormat="1" x14ac:dyDescent="0.25">
      <c r="A1104" s="315"/>
      <c r="B1104" s="315"/>
      <c r="C1104" s="326"/>
      <c r="D1104" s="315"/>
      <c r="E1104" s="321"/>
      <c r="F1104" s="322"/>
      <c r="G1104" s="315"/>
    </row>
    <row r="1105" spans="1:7" s="32" customFormat="1" x14ac:dyDescent="0.25">
      <c r="A1105" s="315"/>
      <c r="B1105" s="315"/>
      <c r="C1105" s="326"/>
      <c r="D1105" s="315"/>
      <c r="E1105" s="321"/>
      <c r="F1105" s="322"/>
      <c r="G1105" s="315"/>
    </row>
    <row r="1106" spans="1:7" s="32" customFormat="1" x14ac:dyDescent="0.25">
      <c r="A1106" s="315"/>
      <c r="B1106" s="315"/>
      <c r="C1106" s="326"/>
      <c r="D1106" s="315"/>
      <c r="E1106" s="321"/>
      <c r="F1106" s="322"/>
      <c r="G1106" s="315"/>
    </row>
    <row r="1107" spans="1:7" s="32" customFormat="1" x14ac:dyDescent="0.25">
      <c r="A1107" s="315"/>
      <c r="B1107" s="315"/>
      <c r="C1107" s="326"/>
      <c r="D1107" s="315"/>
      <c r="E1107" s="321"/>
      <c r="F1107" s="322"/>
      <c r="G1107" s="315"/>
    </row>
    <row r="1108" spans="1:7" s="32" customFormat="1" x14ac:dyDescent="0.25">
      <c r="A1108" s="315"/>
      <c r="B1108" s="315"/>
      <c r="C1108" s="326"/>
      <c r="D1108" s="315"/>
      <c r="E1108" s="321"/>
      <c r="F1108" s="322"/>
      <c r="G1108" s="315"/>
    </row>
    <row r="1109" spans="1:7" s="32" customFormat="1" x14ac:dyDescent="0.25">
      <c r="A1109" s="315"/>
      <c r="B1109" s="315"/>
      <c r="C1109" s="326"/>
      <c r="D1109" s="315"/>
      <c r="E1109" s="321"/>
      <c r="F1109" s="322"/>
      <c r="G1109" s="315"/>
    </row>
    <row r="1110" spans="1:7" s="32" customFormat="1" x14ac:dyDescent="0.25">
      <c r="A1110" s="315"/>
      <c r="B1110" s="315"/>
      <c r="C1110" s="326"/>
      <c r="D1110" s="315"/>
      <c r="E1110" s="321"/>
      <c r="F1110" s="322"/>
      <c r="G1110" s="315"/>
    </row>
    <row r="1111" spans="1:7" s="32" customFormat="1" x14ac:dyDescent="0.25">
      <c r="A1111" s="315"/>
      <c r="B1111" s="315"/>
      <c r="C1111" s="326"/>
      <c r="D1111" s="315"/>
      <c r="E1111" s="321"/>
      <c r="F1111" s="322"/>
      <c r="G1111" s="315"/>
    </row>
    <row r="1112" spans="1:7" s="32" customFormat="1" x14ac:dyDescent="0.25">
      <c r="A1112" s="315"/>
      <c r="B1112" s="315"/>
      <c r="C1112" s="326"/>
      <c r="D1112" s="315"/>
      <c r="E1112" s="321"/>
      <c r="F1112" s="322"/>
      <c r="G1112" s="315"/>
    </row>
    <row r="1113" spans="1:7" s="32" customFormat="1" x14ac:dyDescent="0.25">
      <c r="A1113" s="315"/>
      <c r="B1113" s="315"/>
      <c r="C1113" s="326"/>
      <c r="D1113" s="315"/>
      <c r="E1113" s="321"/>
      <c r="F1113" s="322"/>
      <c r="G1113" s="315"/>
    </row>
    <row r="1114" spans="1:7" s="32" customFormat="1" x14ac:dyDescent="0.25">
      <c r="A1114" s="315"/>
      <c r="B1114" s="315"/>
      <c r="C1114" s="326"/>
      <c r="D1114" s="315"/>
      <c r="E1114" s="321"/>
      <c r="F1114" s="322"/>
      <c r="G1114" s="315"/>
    </row>
    <row r="1115" spans="1:7" s="32" customFormat="1" x14ac:dyDescent="0.25">
      <c r="A1115" s="315"/>
      <c r="B1115" s="315"/>
      <c r="C1115" s="326"/>
      <c r="D1115" s="315"/>
      <c r="E1115" s="321"/>
      <c r="F1115" s="322"/>
      <c r="G1115" s="315"/>
    </row>
    <row r="1116" spans="1:7" s="32" customFormat="1" x14ac:dyDescent="0.25">
      <c r="A1116" s="315"/>
      <c r="B1116" s="315"/>
      <c r="C1116" s="326"/>
      <c r="D1116" s="315"/>
      <c r="E1116" s="321"/>
      <c r="F1116" s="322"/>
      <c r="G1116" s="315"/>
    </row>
    <row r="1117" spans="1:7" s="32" customFormat="1" x14ac:dyDescent="0.25">
      <c r="A1117" s="315"/>
      <c r="B1117" s="315"/>
      <c r="C1117" s="326"/>
      <c r="D1117" s="315"/>
      <c r="E1117" s="321"/>
      <c r="F1117" s="322"/>
      <c r="G1117" s="315"/>
    </row>
    <row r="1118" spans="1:7" s="32" customFormat="1" x14ac:dyDescent="0.25">
      <c r="A1118" s="315"/>
      <c r="B1118" s="315"/>
      <c r="C1118" s="326"/>
      <c r="D1118" s="315"/>
      <c r="E1118" s="321"/>
      <c r="F1118" s="322"/>
      <c r="G1118" s="315"/>
    </row>
    <row r="1119" spans="1:7" s="32" customFormat="1" x14ac:dyDescent="0.25">
      <c r="A1119" s="315"/>
      <c r="B1119" s="315"/>
      <c r="C1119" s="326"/>
      <c r="D1119" s="315"/>
      <c r="E1119" s="321"/>
      <c r="F1119" s="322"/>
      <c r="G1119" s="315"/>
    </row>
    <row r="1120" spans="1:7" s="32" customFormat="1" x14ac:dyDescent="0.25">
      <c r="A1120" s="315"/>
      <c r="B1120" s="315"/>
      <c r="C1120" s="326"/>
      <c r="D1120" s="315"/>
      <c r="E1120" s="321"/>
      <c r="F1120" s="322"/>
      <c r="G1120" s="315"/>
    </row>
    <row r="1121" spans="1:7" s="32" customFormat="1" x14ac:dyDescent="0.25">
      <c r="A1121" s="315"/>
      <c r="B1121" s="315"/>
      <c r="C1121" s="326"/>
      <c r="D1121" s="315"/>
      <c r="E1121" s="321"/>
      <c r="F1121" s="322"/>
      <c r="G1121" s="315"/>
    </row>
    <row r="1122" spans="1:7" s="32" customFormat="1" x14ac:dyDescent="0.25">
      <c r="A1122" s="315"/>
      <c r="B1122" s="315"/>
      <c r="C1122" s="326"/>
      <c r="D1122" s="315"/>
      <c r="E1122" s="321"/>
      <c r="F1122" s="322"/>
      <c r="G1122" s="315"/>
    </row>
    <row r="1123" spans="1:7" s="32" customFormat="1" x14ac:dyDescent="0.25">
      <c r="A1123" s="315"/>
      <c r="B1123" s="315"/>
      <c r="C1123" s="326"/>
      <c r="D1123" s="315"/>
      <c r="E1123" s="321"/>
      <c r="F1123" s="322"/>
      <c r="G1123" s="315"/>
    </row>
    <row r="1124" spans="1:7" s="32" customFormat="1" x14ac:dyDescent="0.25">
      <c r="A1124" s="315"/>
      <c r="B1124" s="315"/>
      <c r="C1124" s="326"/>
      <c r="D1124" s="315"/>
      <c r="E1124" s="321"/>
      <c r="F1124" s="322"/>
      <c r="G1124" s="315"/>
    </row>
    <row r="1125" spans="1:7" s="32" customFormat="1" x14ac:dyDescent="0.25">
      <c r="A1125" s="315"/>
      <c r="B1125" s="315"/>
      <c r="C1125" s="326"/>
      <c r="D1125" s="315"/>
      <c r="E1125" s="321"/>
      <c r="F1125" s="322"/>
      <c r="G1125" s="315"/>
    </row>
    <row r="1126" spans="1:7" s="32" customFormat="1" x14ac:dyDescent="0.25">
      <c r="A1126" s="315"/>
      <c r="B1126" s="315"/>
      <c r="C1126" s="326"/>
      <c r="D1126" s="315"/>
      <c r="E1126" s="321"/>
      <c r="F1126" s="322"/>
      <c r="G1126" s="315"/>
    </row>
    <row r="1127" spans="1:7" s="32" customFormat="1" x14ac:dyDescent="0.25">
      <c r="A1127" s="315"/>
      <c r="B1127" s="315"/>
      <c r="C1127" s="326"/>
      <c r="D1127" s="315"/>
      <c r="E1127" s="321"/>
      <c r="F1127" s="322"/>
      <c r="G1127" s="315"/>
    </row>
    <row r="1128" spans="1:7" s="32" customFormat="1" x14ac:dyDescent="0.25">
      <c r="A1128" s="315"/>
      <c r="B1128" s="315"/>
      <c r="C1128" s="326"/>
      <c r="D1128" s="315"/>
      <c r="E1128" s="321"/>
      <c r="F1128" s="322"/>
      <c r="G1128" s="315"/>
    </row>
    <row r="1129" spans="1:7" s="32" customFormat="1" x14ac:dyDescent="0.25">
      <c r="A1129" s="315"/>
      <c r="B1129" s="315"/>
      <c r="C1129" s="326"/>
      <c r="D1129" s="315"/>
      <c r="E1129" s="321"/>
      <c r="F1129" s="322"/>
      <c r="G1129" s="315"/>
    </row>
    <row r="1130" spans="1:7" s="32" customFormat="1" x14ac:dyDescent="0.25">
      <c r="A1130" s="315"/>
      <c r="B1130" s="315"/>
      <c r="C1130" s="326"/>
      <c r="D1130" s="315"/>
      <c r="E1130" s="321"/>
      <c r="F1130" s="322"/>
      <c r="G1130" s="315"/>
    </row>
    <row r="1131" spans="1:7" s="32" customFormat="1" x14ac:dyDescent="0.25">
      <c r="A1131" s="315"/>
      <c r="B1131" s="315"/>
      <c r="C1131" s="326"/>
      <c r="D1131" s="315"/>
      <c r="E1131" s="321"/>
      <c r="F1131" s="322"/>
      <c r="G1131" s="315"/>
    </row>
    <row r="1132" spans="1:7" s="32" customFormat="1" x14ac:dyDescent="0.25">
      <c r="A1132" s="315"/>
      <c r="B1132" s="315"/>
      <c r="C1132" s="326"/>
      <c r="D1132" s="315"/>
      <c r="E1132" s="321"/>
      <c r="F1132" s="322"/>
      <c r="G1132" s="315"/>
    </row>
    <row r="1133" spans="1:7" s="32" customFormat="1" x14ac:dyDescent="0.25">
      <c r="A1133" s="315"/>
      <c r="B1133" s="315"/>
      <c r="C1133" s="326"/>
      <c r="D1133" s="315"/>
      <c r="E1133" s="321"/>
      <c r="F1133" s="322"/>
      <c r="G1133" s="315"/>
    </row>
    <row r="1134" spans="1:7" s="32" customFormat="1" x14ac:dyDescent="0.25">
      <c r="A1134" s="315"/>
      <c r="B1134" s="315"/>
      <c r="C1134" s="326"/>
      <c r="D1134" s="315"/>
      <c r="E1134" s="321"/>
      <c r="F1134" s="322"/>
      <c r="G1134" s="315"/>
    </row>
    <row r="1135" spans="1:7" s="32" customFormat="1" x14ac:dyDescent="0.25">
      <c r="A1135" s="315"/>
      <c r="B1135" s="315"/>
      <c r="C1135" s="326"/>
      <c r="D1135" s="315"/>
      <c r="E1135" s="321"/>
      <c r="F1135" s="322"/>
      <c r="G1135" s="315"/>
    </row>
    <row r="1136" spans="1:7" s="32" customFormat="1" x14ac:dyDescent="0.25">
      <c r="A1136" s="315"/>
      <c r="B1136" s="315"/>
      <c r="C1136" s="326"/>
      <c r="D1136" s="315"/>
      <c r="E1136" s="321"/>
      <c r="F1136" s="322"/>
      <c r="G1136" s="315"/>
    </row>
    <row r="1137" spans="1:7" s="32" customFormat="1" x14ac:dyDescent="0.25">
      <c r="A1137" s="315"/>
      <c r="B1137" s="315"/>
      <c r="C1137" s="326"/>
      <c r="D1137" s="315"/>
      <c r="E1137" s="321"/>
      <c r="F1137" s="322"/>
      <c r="G1137" s="315"/>
    </row>
    <row r="1138" spans="1:7" s="32" customFormat="1" x14ac:dyDescent="0.25">
      <c r="A1138" s="315"/>
      <c r="B1138" s="315"/>
      <c r="C1138" s="326"/>
      <c r="D1138" s="315"/>
      <c r="E1138" s="321"/>
      <c r="F1138" s="322"/>
      <c r="G1138" s="315"/>
    </row>
    <row r="1139" spans="1:7" s="32" customFormat="1" x14ac:dyDescent="0.25">
      <c r="A1139" s="315"/>
      <c r="B1139" s="315"/>
      <c r="C1139" s="326"/>
      <c r="D1139" s="315"/>
      <c r="E1139" s="321"/>
      <c r="F1139" s="322"/>
      <c r="G1139" s="315"/>
    </row>
    <row r="1140" spans="1:7" s="32" customFormat="1" x14ac:dyDescent="0.25">
      <c r="A1140" s="315"/>
      <c r="B1140" s="315"/>
      <c r="C1140" s="326"/>
      <c r="D1140" s="315"/>
      <c r="E1140" s="321"/>
      <c r="F1140" s="322"/>
      <c r="G1140" s="315"/>
    </row>
    <row r="1141" spans="1:7" s="32" customFormat="1" x14ac:dyDescent="0.25">
      <c r="A1141" s="315"/>
      <c r="B1141" s="315"/>
      <c r="C1141" s="326"/>
      <c r="D1141" s="315"/>
      <c r="E1141" s="321"/>
      <c r="F1141" s="322"/>
      <c r="G1141" s="315"/>
    </row>
    <row r="1142" spans="1:7" s="32" customFormat="1" x14ac:dyDescent="0.25">
      <c r="A1142" s="315"/>
      <c r="B1142" s="315"/>
      <c r="C1142" s="326"/>
      <c r="D1142" s="315"/>
      <c r="E1142" s="321"/>
      <c r="F1142" s="322"/>
      <c r="G1142" s="315"/>
    </row>
    <row r="1143" spans="1:7" s="32" customFormat="1" x14ac:dyDescent="0.25">
      <c r="A1143" s="315"/>
      <c r="B1143" s="315"/>
      <c r="C1143" s="326"/>
      <c r="D1143" s="315"/>
      <c r="E1143" s="321"/>
      <c r="F1143" s="322"/>
      <c r="G1143" s="315"/>
    </row>
    <row r="1144" spans="1:7" s="32" customFormat="1" x14ac:dyDescent="0.25">
      <c r="A1144" s="315"/>
      <c r="B1144" s="315"/>
      <c r="C1144" s="326"/>
      <c r="D1144" s="315"/>
      <c r="E1144" s="321"/>
      <c r="F1144" s="322"/>
      <c r="G1144" s="315"/>
    </row>
    <row r="1145" spans="1:7" s="32" customFormat="1" x14ac:dyDescent="0.25">
      <c r="A1145" s="315"/>
      <c r="B1145" s="315"/>
      <c r="C1145" s="326"/>
      <c r="D1145" s="315"/>
      <c r="E1145" s="321"/>
      <c r="F1145" s="322"/>
      <c r="G1145" s="315"/>
    </row>
    <row r="1146" spans="1:7" s="32" customFormat="1" x14ac:dyDescent="0.25">
      <c r="A1146" s="315"/>
      <c r="B1146" s="315"/>
      <c r="C1146" s="326"/>
      <c r="D1146" s="315"/>
      <c r="E1146" s="321"/>
      <c r="F1146" s="322"/>
      <c r="G1146" s="315"/>
    </row>
    <row r="1147" spans="1:7" s="32" customFormat="1" x14ac:dyDescent="0.25">
      <c r="A1147" s="315"/>
      <c r="B1147" s="315"/>
      <c r="C1147" s="326"/>
      <c r="D1147" s="315"/>
      <c r="E1147" s="321"/>
      <c r="F1147" s="322"/>
      <c r="G1147" s="315"/>
    </row>
    <row r="1148" spans="1:7" s="32" customFormat="1" x14ac:dyDescent="0.25">
      <c r="A1148" s="315"/>
      <c r="B1148" s="315"/>
      <c r="C1148" s="326"/>
      <c r="D1148" s="315"/>
      <c r="E1148" s="321"/>
      <c r="F1148" s="322"/>
      <c r="G1148" s="315"/>
    </row>
    <row r="1149" spans="1:7" s="32" customFormat="1" x14ac:dyDescent="0.25">
      <c r="A1149" s="315"/>
      <c r="B1149" s="315"/>
      <c r="C1149" s="326"/>
      <c r="D1149" s="315"/>
      <c r="E1149" s="321"/>
      <c r="F1149" s="322"/>
      <c r="G1149" s="315"/>
    </row>
    <row r="1150" spans="1:7" s="32" customFormat="1" x14ac:dyDescent="0.25">
      <c r="A1150" s="315"/>
      <c r="B1150" s="315"/>
      <c r="C1150" s="326"/>
      <c r="D1150" s="315"/>
      <c r="E1150" s="321"/>
      <c r="F1150" s="322"/>
      <c r="G1150" s="315"/>
    </row>
    <row r="1151" spans="1:7" s="32" customFormat="1" x14ac:dyDescent="0.25">
      <c r="A1151" s="315"/>
      <c r="B1151" s="315"/>
      <c r="C1151" s="326"/>
      <c r="D1151" s="315"/>
      <c r="E1151" s="321"/>
      <c r="F1151" s="322"/>
      <c r="G1151" s="315"/>
    </row>
    <row r="1152" spans="1:7" s="32" customFormat="1" x14ac:dyDescent="0.25">
      <c r="A1152" s="315"/>
      <c r="B1152" s="315"/>
      <c r="C1152" s="326"/>
      <c r="D1152" s="315"/>
      <c r="E1152" s="321"/>
      <c r="F1152" s="322"/>
      <c r="G1152" s="315"/>
    </row>
    <row r="1153" spans="1:7" s="32" customFormat="1" x14ac:dyDescent="0.25">
      <c r="A1153" s="315"/>
      <c r="B1153" s="315"/>
      <c r="C1153" s="326"/>
      <c r="D1153" s="315"/>
      <c r="E1153" s="321"/>
      <c r="F1153" s="322"/>
      <c r="G1153" s="315"/>
    </row>
    <row r="1154" spans="1:7" s="32" customFormat="1" x14ac:dyDescent="0.25">
      <c r="A1154" s="315"/>
      <c r="B1154" s="315"/>
      <c r="C1154" s="326"/>
      <c r="D1154" s="315"/>
      <c r="E1154" s="321"/>
      <c r="F1154" s="322"/>
      <c r="G1154" s="315"/>
    </row>
    <row r="1155" spans="1:7" s="32" customFormat="1" x14ac:dyDescent="0.25">
      <c r="A1155" s="315"/>
      <c r="B1155" s="315"/>
      <c r="C1155" s="326"/>
      <c r="D1155" s="315"/>
      <c r="E1155" s="321"/>
      <c r="F1155" s="322"/>
      <c r="G1155" s="315"/>
    </row>
    <row r="1156" spans="1:7" s="32" customFormat="1" x14ac:dyDescent="0.25">
      <c r="A1156" s="315"/>
      <c r="B1156" s="315"/>
      <c r="C1156" s="326"/>
      <c r="D1156" s="315"/>
      <c r="E1156" s="321"/>
      <c r="F1156" s="322"/>
      <c r="G1156" s="315"/>
    </row>
    <row r="1157" spans="1:7" s="32" customFormat="1" x14ac:dyDescent="0.25">
      <c r="A1157" s="315"/>
      <c r="B1157" s="315"/>
      <c r="C1157" s="326"/>
      <c r="D1157" s="315"/>
      <c r="E1157" s="321"/>
      <c r="F1157" s="322"/>
      <c r="G1157" s="315"/>
    </row>
    <row r="1158" spans="1:7" s="32" customFormat="1" x14ac:dyDescent="0.25">
      <c r="A1158" s="315"/>
      <c r="B1158" s="315"/>
      <c r="C1158" s="326"/>
      <c r="D1158" s="315"/>
      <c r="E1158" s="321"/>
      <c r="F1158" s="322"/>
      <c r="G1158" s="315"/>
    </row>
    <row r="1159" spans="1:7" s="32" customFormat="1" x14ac:dyDescent="0.25">
      <c r="A1159" s="315"/>
      <c r="B1159" s="315"/>
      <c r="C1159" s="326"/>
      <c r="D1159" s="315"/>
      <c r="E1159" s="321"/>
      <c r="F1159" s="322"/>
      <c r="G1159" s="315"/>
    </row>
    <row r="1160" spans="1:7" s="32" customFormat="1" x14ac:dyDescent="0.25">
      <c r="A1160" s="315"/>
      <c r="B1160" s="315"/>
      <c r="C1160" s="326"/>
      <c r="D1160" s="315"/>
      <c r="E1160" s="321"/>
      <c r="F1160" s="322"/>
      <c r="G1160" s="315"/>
    </row>
    <row r="1161" spans="1:7" s="32" customFormat="1" x14ac:dyDescent="0.25">
      <c r="A1161" s="315"/>
      <c r="B1161" s="315"/>
      <c r="C1161" s="326"/>
      <c r="D1161" s="315"/>
      <c r="E1161" s="321"/>
      <c r="F1161" s="322"/>
      <c r="G1161" s="315"/>
    </row>
    <row r="1162" spans="1:7" s="32" customFormat="1" x14ac:dyDescent="0.25">
      <c r="A1162" s="315"/>
      <c r="B1162" s="315"/>
      <c r="C1162" s="326"/>
      <c r="D1162" s="315"/>
      <c r="E1162" s="321"/>
      <c r="F1162" s="322"/>
      <c r="G1162" s="315"/>
    </row>
    <row r="1163" spans="1:7" s="32" customFormat="1" x14ac:dyDescent="0.25">
      <c r="A1163" s="315"/>
      <c r="B1163" s="315"/>
      <c r="C1163" s="326"/>
      <c r="D1163" s="315"/>
      <c r="E1163" s="321"/>
      <c r="F1163" s="322"/>
      <c r="G1163" s="315"/>
    </row>
    <row r="1164" spans="1:7" s="32" customFormat="1" x14ac:dyDescent="0.25">
      <c r="A1164" s="315"/>
      <c r="B1164" s="315"/>
      <c r="C1164" s="326"/>
      <c r="D1164" s="315"/>
      <c r="E1164" s="321"/>
      <c r="F1164" s="322"/>
      <c r="G1164" s="315"/>
    </row>
    <row r="1165" spans="1:7" s="32" customFormat="1" x14ac:dyDescent="0.25">
      <c r="A1165" s="315"/>
      <c r="B1165" s="315"/>
      <c r="C1165" s="326"/>
      <c r="D1165" s="315"/>
      <c r="E1165" s="321"/>
      <c r="F1165" s="322"/>
      <c r="G1165" s="315"/>
    </row>
    <row r="1166" spans="1:7" s="32" customFormat="1" x14ac:dyDescent="0.25">
      <c r="A1166" s="315"/>
      <c r="B1166" s="315"/>
      <c r="C1166" s="326"/>
      <c r="D1166" s="315"/>
      <c r="E1166" s="321"/>
      <c r="F1166" s="322"/>
      <c r="G1166" s="315"/>
    </row>
    <row r="1167" spans="1:7" s="32" customFormat="1" x14ac:dyDescent="0.25">
      <c r="A1167" s="315"/>
      <c r="B1167" s="315"/>
      <c r="C1167" s="326"/>
      <c r="D1167" s="315"/>
      <c r="E1167" s="321"/>
      <c r="F1167" s="322"/>
      <c r="G1167" s="315"/>
    </row>
    <row r="1168" spans="1:7" s="32" customFormat="1" x14ac:dyDescent="0.25">
      <c r="A1168" s="315"/>
      <c r="B1168" s="315"/>
      <c r="C1168" s="326"/>
      <c r="D1168" s="315"/>
      <c r="E1168" s="321"/>
      <c r="F1168" s="322"/>
      <c r="G1168" s="315"/>
    </row>
    <row r="1169" spans="1:7" s="32" customFormat="1" x14ac:dyDescent="0.25">
      <c r="A1169" s="315"/>
      <c r="B1169" s="315"/>
      <c r="C1169" s="326"/>
      <c r="D1169" s="315"/>
      <c r="E1169" s="321"/>
      <c r="F1169" s="322"/>
      <c r="G1169" s="315"/>
    </row>
    <row r="1170" spans="1:7" s="32" customFormat="1" x14ac:dyDescent="0.25">
      <c r="A1170" s="315"/>
      <c r="B1170" s="315"/>
      <c r="C1170" s="326"/>
      <c r="D1170" s="315"/>
      <c r="E1170" s="321"/>
      <c r="F1170" s="322"/>
      <c r="G1170" s="315"/>
    </row>
    <row r="1171" spans="1:7" s="32" customFormat="1" x14ac:dyDescent="0.25">
      <c r="A1171" s="315"/>
      <c r="B1171" s="315"/>
      <c r="C1171" s="326"/>
      <c r="D1171" s="315"/>
      <c r="E1171" s="321"/>
      <c r="F1171" s="322"/>
      <c r="G1171" s="315"/>
    </row>
    <row r="1172" spans="1:7" s="32" customFormat="1" x14ac:dyDescent="0.25">
      <c r="A1172" s="315"/>
      <c r="B1172" s="315"/>
      <c r="C1172" s="326"/>
      <c r="D1172" s="315"/>
      <c r="E1172" s="321"/>
      <c r="F1172" s="322"/>
      <c r="G1172" s="315"/>
    </row>
    <row r="1173" spans="1:7" s="32" customFormat="1" x14ac:dyDescent="0.25">
      <c r="A1173" s="315"/>
      <c r="B1173" s="315"/>
      <c r="C1173" s="326"/>
      <c r="D1173" s="315"/>
      <c r="E1173" s="321"/>
      <c r="F1173" s="322"/>
      <c r="G1173" s="315"/>
    </row>
    <row r="1174" spans="1:7" s="32" customFormat="1" x14ac:dyDescent="0.25">
      <c r="A1174" s="315"/>
      <c r="B1174" s="315"/>
      <c r="C1174" s="326"/>
      <c r="D1174" s="315"/>
      <c r="E1174" s="321"/>
      <c r="F1174" s="322"/>
      <c r="G1174" s="315"/>
    </row>
    <row r="1175" spans="1:7" s="32" customFormat="1" x14ac:dyDescent="0.25">
      <c r="A1175" s="315"/>
      <c r="B1175" s="315"/>
      <c r="C1175" s="326"/>
      <c r="D1175" s="315"/>
      <c r="E1175" s="321"/>
      <c r="F1175" s="322"/>
      <c r="G1175" s="315"/>
    </row>
    <row r="1176" spans="1:7" s="32" customFormat="1" x14ac:dyDescent="0.25">
      <c r="A1176" s="315"/>
      <c r="B1176" s="315"/>
      <c r="C1176" s="326"/>
      <c r="D1176" s="315"/>
      <c r="E1176" s="321"/>
      <c r="F1176" s="322"/>
      <c r="G1176" s="315"/>
    </row>
    <row r="1177" spans="1:7" s="32" customFormat="1" x14ac:dyDescent="0.25">
      <c r="A1177" s="315"/>
      <c r="B1177" s="315"/>
      <c r="C1177" s="326"/>
      <c r="D1177" s="315"/>
      <c r="E1177" s="321"/>
      <c r="F1177" s="322"/>
      <c r="G1177" s="315"/>
    </row>
    <row r="1178" spans="1:7" s="32" customFormat="1" x14ac:dyDescent="0.25">
      <c r="A1178" s="315"/>
      <c r="B1178" s="315"/>
      <c r="C1178" s="326"/>
      <c r="D1178" s="315"/>
      <c r="E1178" s="321"/>
      <c r="F1178" s="322"/>
      <c r="G1178" s="315"/>
    </row>
    <row r="1179" spans="1:7" s="32" customFormat="1" x14ac:dyDescent="0.25">
      <c r="A1179" s="315"/>
      <c r="B1179" s="315"/>
      <c r="C1179" s="326"/>
      <c r="D1179" s="315"/>
      <c r="E1179" s="321"/>
      <c r="F1179" s="322"/>
      <c r="G1179" s="315"/>
    </row>
    <row r="1180" spans="1:7" s="32" customFormat="1" x14ac:dyDescent="0.25">
      <c r="A1180" s="315"/>
      <c r="B1180" s="315"/>
      <c r="C1180" s="326"/>
      <c r="D1180" s="315"/>
      <c r="E1180" s="321"/>
      <c r="F1180" s="322"/>
      <c r="G1180" s="315"/>
    </row>
    <row r="1181" spans="1:7" s="32" customFormat="1" x14ac:dyDescent="0.25">
      <c r="A1181" s="315"/>
      <c r="B1181" s="315"/>
      <c r="C1181" s="326"/>
      <c r="D1181" s="315"/>
      <c r="E1181" s="321"/>
      <c r="F1181" s="322"/>
      <c r="G1181" s="315"/>
    </row>
    <row r="1182" spans="1:7" s="32" customFormat="1" x14ac:dyDescent="0.25">
      <c r="A1182" s="315"/>
      <c r="B1182" s="315"/>
      <c r="C1182" s="326"/>
      <c r="D1182" s="315"/>
      <c r="E1182" s="321"/>
      <c r="F1182" s="322"/>
      <c r="G1182" s="315"/>
    </row>
    <row r="1183" spans="1:7" s="32" customFormat="1" x14ac:dyDescent="0.25">
      <c r="A1183" s="315"/>
      <c r="B1183" s="315"/>
      <c r="C1183" s="326"/>
      <c r="D1183" s="315"/>
      <c r="E1183" s="321"/>
      <c r="F1183" s="322"/>
      <c r="G1183" s="315"/>
    </row>
    <row r="1184" spans="1:7" s="32" customFormat="1" x14ac:dyDescent="0.25">
      <c r="A1184" s="315"/>
      <c r="B1184" s="315"/>
      <c r="C1184" s="326"/>
      <c r="D1184" s="315"/>
      <c r="E1184" s="321"/>
      <c r="F1184" s="322"/>
      <c r="G1184" s="315"/>
    </row>
    <row r="1185" spans="1:7" s="32" customFormat="1" x14ac:dyDescent="0.25">
      <c r="A1185" s="315"/>
      <c r="B1185" s="315"/>
      <c r="C1185" s="326"/>
      <c r="D1185" s="315"/>
      <c r="E1185" s="321"/>
      <c r="F1185" s="322"/>
      <c r="G1185" s="315"/>
    </row>
    <row r="1186" spans="1:7" s="32" customFormat="1" x14ac:dyDescent="0.25">
      <c r="A1186" s="315"/>
      <c r="B1186" s="315"/>
      <c r="C1186" s="326"/>
      <c r="D1186" s="315"/>
      <c r="E1186" s="321"/>
      <c r="F1186" s="322"/>
      <c r="G1186" s="315"/>
    </row>
    <row r="1187" spans="1:7" s="32" customFormat="1" x14ac:dyDescent="0.25">
      <c r="A1187" s="315"/>
      <c r="B1187" s="315"/>
      <c r="C1187" s="326"/>
      <c r="D1187" s="315"/>
      <c r="E1187" s="321"/>
      <c r="F1187" s="322"/>
      <c r="G1187" s="315"/>
    </row>
    <row r="1188" spans="1:7" s="32" customFormat="1" x14ac:dyDescent="0.25">
      <c r="A1188" s="315"/>
      <c r="B1188" s="315"/>
      <c r="C1188" s="326"/>
      <c r="D1188" s="315"/>
      <c r="E1188" s="321"/>
      <c r="F1188" s="322"/>
      <c r="G1188" s="315"/>
    </row>
    <row r="1189" spans="1:7" s="32" customFormat="1" x14ac:dyDescent="0.25">
      <c r="A1189" s="315"/>
      <c r="B1189" s="315"/>
      <c r="C1189" s="326"/>
      <c r="D1189" s="315"/>
      <c r="E1189" s="321"/>
      <c r="F1189" s="322"/>
      <c r="G1189" s="315"/>
    </row>
    <row r="1190" spans="1:7" s="32" customFormat="1" x14ac:dyDescent="0.25">
      <c r="A1190" s="315"/>
      <c r="B1190" s="315"/>
      <c r="C1190" s="326"/>
      <c r="D1190" s="315"/>
      <c r="E1190" s="321"/>
      <c r="F1190" s="322"/>
      <c r="G1190" s="315"/>
    </row>
    <row r="1191" spans="1:7" s="32" customFormat="1" x14ac:dyDescent="0.25">
      <c r="A1191" s="315"/>
      <c r="B1191" s="315"/>
      <c r="C1191" s="326"/>
      <c r="D1191" s="315"/>
      <c r="E1191" s="321"/>
      <c r="F1191" s="322"/>
      <c r="G1191" s="315"/>
    </row>
    <row r="1192" spans="1:7" s="32" customFormat="1" x14ac:dyDescent="0.25">
      <c r="A1192" s="315"/>
      <c r="B1192" s="315"/>
      <c r="C1192" s="326"/>
      <c r="D1192" s="315"/>
      <c r="E1192" s="321"/>
      <c r="F1192" s="322"/>
      <c r="G1192" s="315"/>
    </row>
    <row r="1193" spans="1:7" s="32" customFormat="1" x14ac:dyDescent="0.25">
      <c r="A1193" s="315"/>
      <c r="B1193" s="315"/>
      <c r="C1193" s="326"/>
      <c r="D1193" s="315"/>
      <c r="E1193" s="321"/>
      <c r="F1193" s="322"/>
      <c r="G1193" s="315"/>
    </row>
    <row r="1194" spans="1:7" s="32" customFormat="1" x14ac:dyDescent="0.25">
      <c r="A1194" s="315"/>
      <c r="B1194" s="315"/>
      <c r="C1194" s="326"/>
      <c r="D1194" s="315"/>
      <c r="E1194" s="321"/>
      <c r="F1194" s="322"/>
      <c r="G1194" s="315"/>
    </row>
    <row r="1195" spans="1:7" s="32" customFormat="1" x14ac:dyDescent="0.25">
      <c r="A1195" s="315"/>
      <c r="B1195" s="315"/>
      <c r="C1195" s="326"/>
      <c r="D1195" s="315"/>
      <c r="E1195" s="321"/>
      <c r="F1195" s="322"/>
      <c r="G1195" s="315"/>
    </row>
    <row r="1196" spans="1:7" s="32" customFormat="1" x14ac:dyDescent="0.25">
      <c r="A1196" s="315"/>
      <c r="B1196" s="315"/>
      <c r="C1196" s="326"/>
      <c r="D1196" s="315"/>
      <c r="E1196" s="321"/>
      <c r="F1196" s="322"/>
      <c r="G1196" s="315"/>
    </row>
    <row r="1197" spans="1:7" s="32" customFormat="1" x14ac:dyDescent="0.25">
      <c r="A1197" s="315"/>
      <c r="B1197" s="315"/>
      <c r="C1197" s="326"/>
      <c r="D1197" s="315"/>
      <c r="E1197" s="321"/>
      <c r="F1197" s="322"/>
      <c r="G1197" s="315"/>
    </row>
    <row r="1198" spans="1:7" s="32" customFormat="1" x14ac:dyDescent="0.25">
      <c r="A1198" s="315"/>
      <c r="B1198" s="315"/>
      <c r="C1198" s="326"/>
      <c r="D1198" s="315"/>
      <c r="E1198" s="321"/>
      <c r="F1198" s="322"/>
      <c r="G1198" s="315"/>
    </row>
    <row r="1199" spans="1:7" s="32" customFormat="1" x14ac:dyDescent="0.25">
      <c r="A1199" s="315"/>
      <c r="B1199" s="315"/>
      <c r="C1199" s="326"/>
      <c r="D1199" s="315"/>
      <c r="E1199" s="321"/>
      <c r="F1199" s="322"/>
      <c r="G1199" s="315"/>
    </row>
    <row r="1200" spans="1:7" s="32" customFormat="1" x14ac:dyDescent="0.25">
      <c r="A1200" s="315"/>
      <c r="B1200" s="315"/>
      <c r="C1200" s="326"/>
      <c r="D1200" s="315"/>
      <c r="E1200" s="321"/>
      <c r="F1200" s="322"/>
      <c r="G1200" s="315"/>
    </row>
    <row r="1201" spans="1:7" s="32" customFormat="1" x14ac:dyDescent="0.25">
      <c r="A1201" s="315"/>
      <c r="B1201" s="315"/>
      <c r="C1201" s="326"/>
      <c r="D1201" s="315"/>
      <c r="E1201" s="321"/>
      <c r="F1201" s="322"/>
      <c r="G1201" s="315"/>
    </row>
    <row r="1202" spans="1:7" s="32" customFormat="1" x14ac:dyDescent="0.25">
      <c r="A1202" s="315"/>
      <c r="B1202" s="315"/>
      <c r="C1202" s="326"/>
      <c r="D1202" s="315"/>
      <c r="E1202" s="321"/>
      <c r="F1202" s="322"/>
      <c r="G1202" s="315"/>
    </row>
    <row r="1203" spans="1:7" s="32" customFormat="1" x14ac:dyDescent="0.25">
      <c r="A1203" s="315"/>
      <c r="B1203" s="315"/>
      <c r="C1203" s="326"/>
      <c r="D1203" s="315"/>
      <c r="E1203" s="321"/>
      <c r="F1203" s="322"/>
      <c r="G1203" s="315"/>
    </row>
    <row r="1204" spans="1:7" s="32" customFormat="1" x14ac:dyDescent="0.25">
      <c r="A1204" s="315"/>
      <c r="B1204" s="315"/>
      <c r="C1204" s="326"/>
      <c r="D1204" s="315"/>
      <c r="E1204" s="321"/>
      <c r="F1204" s="322"/>
      <c r="G1204" s="315"/>
    </row>
    <row r="1205" spans="1:7" s="32" customFormat="1" x14ac:dyDescent="0.25">
      <c r="A1205" s="315"/>
      <c r="B1205" s="315"/>
      <c r="C1205" s="326"/>
      <c r="D1205" s="315"/>
      <c r="E1205" s="321"/>
      <c r="F1205" s="322"/>
      <c r="G1205" s="315"/>
    </row>
    <row r="1206" spans="1:7" s="32" customFormat="1" x14ac:dyDescent="0.25">
      <c r="A1206" s="315"/>
      <c r="B1206" s="315"/>
      <c r="C1206" s="326"/>
      <c r="D1206" s="315"/>
      <c r="E1206" s="321"/>
      <c r="F1206" s="322"/>
      <c r="G1206" s="315"/>
    </row>
    <row r="1207" spans="1:7" s="32" customFormat="1" x14ac:dyDescent="0.25">
      <c r="A1207" s="315"/>
      <c r="B1207" s="315"/>
      <c r="C1207" s="326"/>
      <c r="D1207" s="315"/>
      <c r="E1207" s="321"/>
      <c r="F1207" s="322"/>
      <c r="G1207" s="315"/>
    </row>
    <row r="1208" spans="1:7" s="32" customFormat="1" x14ac:dyDescent="0.25">
      <c r="A1208" s="315"/>
      <c r="B1208" s="315"/>
      <c r="C1208" s="326"/>
      <c r="D1208" s="315"/>
      <c r="E1208" s="321"/>
      <c r="F1208" s="322"/>
      <c r="G1208" s="315"/>
    </row>
    <row r="1209" spans="1:7" s="32" customFormat="1" x14ac:dyDescent="0.25">
      <c r="A1209" s="315"/>
      <c r="B1209" s="315"/>
      <c r="C1209" s="326"/>
      <c r="D1209" s="315"/>
      <c r="E1209" s="321"/>
      <c r="F1209" s="322"/>
      <c r="G1209" s="315"/>
    </row>
    <row r="1210" spans="1:7" s="32" customFormat="1" x14ac:dyDescent="0.25">
      <c r="A1210" s="315"/>
      <c r="B1210" s="315"/>
      <c r="C1210" s="326"/>
      <c r="D1210" s="315"/>
      <c r="E1210" s="321"/>
      <c r="F1210" s="322"/>
      <c r="G1210" s="315"/>
    </row>
    <row r="1211" spans="1:7" s="32" customFormat="1" x14ac:dyDescent="0.25">
      <c r="A1211" s="315"/>
      <c r="B1211" s="315"/>
      <c r="C1211" s="326"/>
      <c r="D1211" s="315"/>
      <c r="E1211" s="321"/>
      <c r="F1211" s="322"/>
      <c r="G1211" s="315"/>
    </row>
    <row r="1212" spans="1:7" s="32" customFormat="1" x14ac:dyDescent="0.25">
      <c r="A1212" s="315"/>
      <c r="B1212" s="315"/>
      <c r="C1212" s="326"/>
      <c r="D1212" s="315"/>
      <c r="E1212" s="321"/>
      <c r="F1212" s="322"/>
      <c r="G1212" s="315"/>
    </row>
    <row r="1213" spans="1:7" s="32" customFormat="1" x14ac:dyDescent="0.25">
      <c r="A1213" s="315"/>
      <c r="B1213" s="315"/>
      <c r="C1213" s="326"/>
      <c r="D1213" s="315"/>
      <c r="E1213" s="321"/>
      <c r="F1213" s="322"/>
      <c r="G1213" s="315"/>
    </row>
    <row r="1214" spans="1:7" s="32" customFormat="1" x14ac:dyDescent="0.25">
      <c r="A1214" s="315"/>
      <c r="B1214" s="315"/>
      <c r="C1214" s="326"/>
      <c r="D1214" s="315"/>
      <c r="E1214" s="321"/>
      <c r="F1214" s="322"/>
      <c r="G1214" s="315"/>
    </row>
    <row r="1215" spans="1:7" s="32" customFormat="1" x14ac:dyDescent="0.25">
      <c r="A1215" s="315"/>
      <c r="B1215" s="315"/>
      <c r="C1215" s="326"/>
      <c r="D1215" s="315"/>
      <c r="E1215" s="321"/>
      <c r="F1215" s="322"/>
      <c r="G1215" s="315"/>
    </row>
    <row r="1216" spans="1:7" s="32" customFormat="1" x14ac:dyDescent="0.25">
      <c r="A1216" s="315"/>
      <c r="B1216" s="315"/>
      <c r="C1216" s="326"/>
      <c r="D1216" s="315"/>
      <c r="E1216" s="321"/>
      <c r="F1216" s="322"/>
      <c r="G1216" s="315"/>
    </row>
    <row r="1217" spans="1:7" s="32" customFormat="1" x14ac:dyDescent="0.25">
      <c r="A1217" s="315"/>
      <c r="B1217" s="315"/>
      <c r="C1217" s="326"/>
      <c r="D1217" s="315"/>
      <c r="E1217" s="321"/>
      <c r="F1217" s="322"/>
      <c r="G1217" s="315"/>
    </row>
    <row r="1218" spans="1:7" s="32" customFormat="1" x14ac:dyDescent="0.25">
      <c r="A1218" s="315"/>
      <c r="B1218" s="315"/>
      <c r="C1218" s="326"/>
      <c r="D1218" s="315"/>
      <c r="E1218" s="321"/>
      <c r="F1218" s="322"/>
      <c r="G1218" s="315"/>
    </row>
    <row r="1219" spans="1:7" s="32" customFormat="1" x14ac:dyDescent="0.25">
      <c r="A1219" s="315"/>
      <c r="B1219" s="315"/>
      <c r="C1219" s="326"/>
      <c r="D1219" s="315"/>
      <c r="E1219" s="321"/>
      <c r="F1219" s="322"/>
      <c r="G1219" s="315"/>
    </row>
    <row r="1220" spans="1:7" s="32" customFormat="1" x14ac:dyDescent="0.25">
      <c r="A1220" s="315"/>
      <c r="B1220" s="315"/>
      <c r="C1220" s="326"/>
      <c r="D1220" s="315"/>
      <c r="E1220" s="321"/>
      <c r="F1220" s="322"/>
      <c r="G1220" s="315"/>
    </row>
    <row r="1221" spans="1:7" s="32" customFormat="1" x14ac:dyDescent="0.25">
      <c r="A1221" s="315"/>
      <c r="B1221" s="315"/>
      <c r="C1221" s="326"/>
      <c r="D1221" s="315"/>
      <c r="E1221" s="321"/>
      <c r="F1221" s="322"/>
      <c r="G1221" s="315"/>
    </row>
    <row r="1222" spans="1:7" s="32" customFormat="1" x14ac:dyDescent="0.25">
      <c r="A1222" s="315"/>
      <c r="B1222" s="315"/>
      <c r="C1222" s="326"/>
      <c r="D1222" s="315"/>
      <c r="E1222" s="321"/>
      <c r="F1222" s="322"/>
      <c r="G1222" s="315"/>
    </row>
    <row r="1223" spans="1:7" s="32" customFormat="1" x14ac:dyDescent="0.25">
      <c r="A1223" s="315"/>
      <c r="B1223" s="315"/>
      <c r="C1223" s="326"/>
      <c r="D1223" s="315"/>
      <c r="E1223" s="321"/>
      <c r="F1223" s="322"/>
      <c r="G1223" s="315"/>
    </row>
    <row r="1224" spans="1:7" s="32" customFormat="1" x14ac:dyDescent="0.25">
      <c r="A1224" s="315"/>
      <c r="B1224" s="315"/>
      <c r="C1224" s="326"/>
      <c r="D1224" s="315"/>
      <c r="E1224" s="321"/>
      <c r="F1224" s="322"/>
      <c r="G1224" s="315"/>
    </row>
    <row r="1225" spans="1:7" s="32" customFormat="1" x14ac:dyDescent="0.25">
      <c r="A1225" s="315"/>
      <c r="B1225" s="315"/>
      <c r="C1225" s="326"/>
      <c r="D1225" s="315"/>
      <c r="E1225" s="321"/>
      <c r="F1225" s="322"/>
      <c r="G1225" s="315"/>
    </row>
    <row r="1226" spans="1:7" s="32" customFormat="1" x14ac:dyDescent="0.25">
      <c r="A1226" s="315"/>
      <c r="B1226" s="315"/>
      <c r="C1226" s="326"/>
      <c r="D1226" s="315"/>
      <c r="E1226" s="321"/>
      <c r="F1226" s="322"/>
      <c r="G1226" s="315"/>
    </row>
    <row r="1227" spans="1:7" s="32" customFormat="1" x14ac:dyDescent="0.25">
      <c r="A1227" s="315"/>
      <c r="B1227" s="315"/>
      <c r="C1227" s="326"/>
      <c r="D1227" s="315"/>
      <c r="E1227" s="321"/>
      <c r="F1227" s="322"/>
      <c r="G1227" s="315"/>
    </row>
    <row r="1228" spans="1:7" s="32" customFormat="1" x14ac:dyDescent="0.25">
      <c r="A1228" s="315"/>
      <c r="B1228" s="315"/>
      <c r="C1228" s="326"/>
      <c r="D1228" s="315"/>
      <c r="E1228" s="321"/>
      <c r="F1228" s="322"/>
      <c r="G1228" s="315"/>
    </row>
    <row r="1229" spans="1:7" s="32" customFormat="1" x14ac:dyDescent="0.25">
      <c r="A1229" s="315"/>
      <c r="B1229" s="315"/>
      <c r="C1229" s="326"/>
      <c r="D1229" s="315"/>
      <c r="E1229" s="321"/>
      <c r="F1229" s="322"/>
      <c r="G1229" s="315"/>
    </row>
    <row r="1230" spans="1:7" s="32" customFormat="1" x14ac:dyDescent="0.25">
      <c r="A1230" s="315"/>
      <c r="B1230" s="315"/>
      <c r="C1230" s="326"/>
      <c r="D1230" s="315"/>
      <c r="E1230" s="321"/>
      <c r="F1230" s="322"/>
      <c r="G1230" s="315"/>
    </row>
    <row r="1231" spans="1:7" s="32" customFormat="1" x14ac:dyDescent="0.25">
      <c r="A1231" s="315"/>
      <c r="B1231" s="315"/>
      <c r="C1231" s="326"/>
      <c r="D1231" s="315"/>
      <c r="E1231" s="321"/>
      <c r="F1231" s="322"/>
      <c r="G1231" s="315"/>
    </row>
    <row r="1232" spans="1:7" s="32" customFormat="1" x14ac:dyDescent="0.25">
      <c r="A1232" s="315"/>
      <c r="B1232" s="315"/>
      <c r="C1232" s="326"/>
      <c r="D1232" s="315"/>
      <c r="E1232" s="321"/>
      <c r="F1232" s="322"/>
      <c r="G1232" s="315"/>
    </row>
    <row r="1233" spans="1:7" s="32" customFormat="1" x14ac:dyDescent="0.25">
      <c r="A1233" s="315"/>
      <c r="B1233" s="315"/>
      <c r="C1233" s="326"/>
      <c r="D1233" s="315"/>
      <c r="E1233" s="321"/>
      <c r="F1233" s="322"/>
      <c r="G1233" s="315"/>
    </row>
    <row r="1234" spans="1:7" s="32" customFormat="1" x14ac:dyDescent="0.25">
      <c r="A1234" s="315"/>
      <c r="B1234" s="315"/>
      <c r="C1234" s="326"/>
      <c r="D1234" s="315"/>
      <c r="E1234" s="321"/>
      <c r="F1234" s="322"/>
      <c r="G1234" s="315"/>
    </row>
    <row r="1235" spans="1:7" s="32" customFormat="1" x14ac:dyDescent="0.25">
      <c r="A1235" s="315"/>
      <c r="B1235" s="315"/>
      <c r="C1235" s="326"/>
      <c r="D1235" s="315"/>
      <c r="E1235" s="321"/>
      <c r="F1235" s="322"/>
      <c r="G1235" s="315"/>
    </row>
    <row r="1236" spans="1:7" s="32" customFormat="1" x14ac:dyDescent="0.25">
      <c r="A1236" s="315"/>
      <c r="B1236" s="315"/>
      <c r="C1236" s="326"/>
      <c r="D1236" s="315"/>
      <c r="E1236" s="321"/>
      <c r="F1236" s="322"/>
      <c r="G1236" s="315"/>
    </row>
    <row r="1237" spans="1:7" s="32" customFormat="1" x14ac:dyDescent="0.25">
      <c r="A1237" s="315"/>
      <c r="B1237" s="315"/>
      <c r="C1237" s="326"/>
      <c r="D1237" s="315"/>
      <c r="E1237" s="321"/>
      <c r="F1237" s="322"/>
      <c r="G1237" s="315"/>
    </row>
    <row r="1238" spans="1:7" s="32" customFormat="1" x14ac:dyDescent="0.25">
      <c r="A1238" s="315"/>
      <c r="B1238" s="315"/>
      <c r="C1238" s="326"/>
      <c r="D1238" s="315"/>
      <c r="E1238" s="321"/>
      <c r="F1238" s="322"/>
      <c r="G1238" s="315"/>
    </row>
    <row r="1239" spans="1:7" s="32" customFormat="1" x14ac:dyDescent="0.25">
      <c r="A1239" s="315"/>
      <c r="B1239" s="315"/>
      <c r="C1239" s="326"/>
      <c r="D1239" s="315"/>
      <c r="E1239" s="321"/>
      <c r="F1239" s="322"/>
      <c r="G1239" s="315"/>
    </row>
    <row r="1240" spans="1:7" s="32" customFormat="1" x14ac:dyDescent="0.25">
      <c r="A1240" s="315"/>
      <c r="B1240" s="315"/>
      <c r="C1240" s="326"/>
      <c r="D1240" s="315"/>
      <c r="E1240" s="321"/>
      <c r="F1240" s="322"/>
      <c r="G1240" s="315"/>
    </row>
    <row r="1241" spans="1:7" s="32" customFormat="1" x14ac:dyDescent="0.25">
      <c r="A1241" s="315"/>
      <c r="B1241" s="315"/>
      <c r="C1241" s="326"/>
      <c r="D1241" s="315"/>
      <c r="E1241" s="321"/>
      <c r="F1241" s="322"/>
      <c r="G1241" s="315"/>
    </row>
    <row r="1242" spans="1:7" s="32" customFormat="1" x14ac:dyDescent="0.25">
      <c r="A1242" s="315"/>
      <c r="B1242" s="315"/>
      <c r="C1242" s="326"/>
      <c r="D1242" s="315"/>
      <c r="E1242" s="321"/>
      <c r="F1242" s="322"/>
      <c r="G1242" s="315"/>
    </row>
    <row r="1243" spans="1:7" s="32" customFormat="1" x14ac:dyDescent="0.25">
      <c r="A1243" s="315"/>
      <c r="B1243" s="315"/>
      <c r="C1243" s="326"/>
      <c r="D1243" s="315"/>
      <c r="E1243" s="321"/>
      <c r="F1243" s="322"/>
      <c r="G1243" s="315"/>
    </row>
    <row r="1244" spans="1:7" s="32" customFormat="1" x14ac:dyDescent="0.25">
      <c r="A1244" s="315"/>
      <c r="B1244" s="315"/>
      <c r="C1244" s="326"/>
      <c r="D1244" s="315"/>
      <c r="E1244" s="321"/>
      <c r="F1244" s="322"/>
      <c r="G1244" s="315"/>
    </row>
    <row r="1245" spans="1:7" s="32" customFormat="1" x14ac:dyDescent="0.25">
      <c r="A1245" s="315"/>
      <c r="B1245" s="315"/>
      <c r="C1245" s="326"/>
      <c r="D1245" s="315"/>
      <c r="E1245" s="321"/>
      <c r="F1245" s="322"/>
      <c r="G1245" s="315"/>
    </row>
    <row r="1246" spans="1:7" s="32" customFormat="1" x14ac:dyDescent="0.25">
      <c r="A1246" s="315"/>
      <c r="B1246" s="315"/>
      <c r="C1246" s="326"/>
      <c r="D1246" s="315"/>
      <c r="E1246" s="321"/>
      <c r="F1246" s="322"/>
      <c r="G1246" s="315"/>
    </row>
    <row r="1247" spans="1:7" s="32" customFormat="1" x14ac:dyDescent="0.25">
      <c r="A1247" s="315"/>
      <c r="B1247" s="315"/>
      <c r="C1247" s="326"/>
      <c r="D1247" s="315"/>
      <c r="E1247" s="321"/>
      <c r="F1247" s="322"/>
      <c r="G1247" s="315"/>
    </row>
    <row r="1248" spans="1:7" s="32" customFormat="1" x14ac:dyDescent="0.25">
      <c r="A1248" s="315"/>
      <c r="B1248" s="315"/>
      <c r="C1248" s="326"/>
      <c r="D1248" s="315"/>
      <c r="E1248" s="321"/>
      <c r="F1248" s="322"/>
      <c r="G1248" s="315"/>
    </row>
    <row r="1249" spans="1:7" s="32" customFormat="1" x14ac:dyDescent="0.25">
      <c r="A1249" s="315"/>
      <c r="B1249" s="315"/>
      <c r="C1249" s="326"/>
      <c r="D1249" s="315"/>
      <c r="E1249" s="321"/>
      <c r="F1249" s="322"/>
      <c r="G1249" s="315"/>
    </row>
    <row r="1250" spans="1:7" s="32" customFormat="1" x14ac:dyDescent="0.25">
      <c r="A1250" s="315"/>
      <c r="B1250" s="315"/>
      <c r="C1250" s="326"/>
      <c r="D1250" s="315"/>
      <c r="E1250" s="321"/>
      <c r="F1250" s="322"/>
      <c r="G1250" s="315"/>
    </row>
    <row r="1251" spans="1:7" s="32" customFormat="1" x14ac:dyDescent="0.25">
      <c r="A1251" s="315"/>
      <c r="B1251" s="315"/>
      <c r="C1251" s="326"/>
      <c r="D1251" s="315"/>
      <c r="E1251" s="321"/>
      <c r="F1251" s="322"/>
      <c r="G1251" s="315"/>
    </row>
    <row r="1252" spans="1:7" s="32" customFormat="1" x14ac:dyDescent="0.25">
      <c r="A1252" s="315"/>
      <c r="B1252" s="315"/>
      <c r="C1252" s="326"/>
      <c r="D1252" s="315"/>
      <c r="E1252" s="321"/>
      <c r="F1252" s="322"/>
      <c r="G1252" s="315"/>
    </row>
    <row r="1253" spans="1:7" s="32" customFormat="1" x14ac:dyDescent="0.25">
      <c r="A1253" s="315"/>
      <c r="B1253" s="315"/>
      <c r="C1253" s="326"/>
      <c r="D1253" s="315"/>
      <c r="E1253" s="321"/>
      <c r="F1253" s="322"/>
      <c r="G1253" s="315"/>
    </row>
    <row r="1254" spans="1:7" s="32" customFormat="1" x14ac:dyDescent="0.25">
      <c r="A1254" s="315"/>
      <c r="B1254" s="315"/>
      <c r="C1254" s="326"/>
      <c r="D1254" s="315"/>
      <c r="E1254" s="321"/>
      <c r="F1254" s="322"/>
      <c r="G1254" s="315"/>
    </row>
    <row r="1255" spans="1:7" s="32" customFormat="1" x14ac:dyDescent="0.25">
      <c r="A1255" s="315"/>
      <c r="B1255" s="315"/>
      <c r="C1255" s="326"/>
      <c r="D1255" s="315"/>
      <c r="E1255" s="321"/>
      <c r="F1255" s="322"/>
      <c r="G1255" s="315"/>
    </row>
    <row r="1256" spans="1:7" s="32" customFormat="1" x14ac:dyDescent="0.25">
      <c r="A1256" s="315"/>
      <c r="B1256" s="315"/>
      <c r="C1256" s="326"/>
      <c r="D1256" s="315"/>
      <c r="E1256" s="321"/>
      <c r="F1256" s="322"/>
      <c r="G1256" s="315"/>
    </row>
    <row r="1257" spans="1:7" s="32" customFormat="1" x14ac:dyDescent="0.25">
      <c r="A1257" s="315"/>
      <c r="B1257" s="315"/>
      <c r="C1257" s="326"/>
      <c r="D1257" s="315"/>
      <c r="E1257" s="321"/>
      <c r="F1257" s="322"/>
      <c r="G1257" s="315"/>
    </row>
    <row r="1258" spans="1:7" s="32" customFormat="1" x14ac:dyDescent="0.25">
      <c r="A1258" s="315"/>
      <c r="B1258" s="315"/>
      <c r="C1258" s="326"/>
      <c r="D1258" s="315"/>
      <c r="E1258" s="321"/>
      <c r="F1258" s="322"/>
      <c r="G1258" s="315"/>
    </row>
    <row r="1259" spans="1:7" s="32" customFormat="1" x14ac:dyDescent="0.25">
      <c r="A1259" s="315"/>
      <c r="B1259" s="315"/>
      <c r="C1259" s="326"/>
      <c r="D1259" s="315"/>
      <c r="E1259" s="321"/>
      <c r="F1259" s="322"/>
      <c r="G1259" s="315"/>
    </row>
    <row r="1260" spans="1:7" s="32" customFormat="1" x14ac:dyDescent="0.25">
      <c r="A1260" s="315"/>
      <c r="B1260" s="315"/>
      <c r="C1260" s="326"/>
      <c r="D1260" s="315"/>
      <c r="E1260" s="321"/>
      <c r="F1260" s="322"/>
      <c r="G1260" s="315"/>
    </row>
    <row r="1261" spans="1:7" s="32" customFormat="1" x14ac:dyDescent="0.25">
      <c r="A1261" s="315"/>
      <c r="B1261" s="315"/>
      <c r="C1261" s="326"/>
      <c r="D1261" s="315"/>
      <c r="E1261" s="321"/>
      <c r="F1261" s="322"/>
      <c r="G1261" s="315"/>
    </row>
    <row r="1262" spans="1:7" s="32" customFormat="1" x14ac:dyDescent="0.25">
      <c r="A1262" s="315"/>
      <c r="B1262" s="315"/>
      <c r="C1262" s="326"/>
      <c r="D1262" s="315"/>
      <c r="E1262" s="321"/>
      <c r="F1262" s="322"/>
      <c r="G1262" s="315"/>
    </row>
    <row r="1263" spans="1:7" s="32" customFormat="1" x14ac:dyDescent="0.25">
      <c r="A1263" s="315"/>
      <c r="B1263" s="315"/>
      <c r="C1263" s="326"/>
      <c r="D1263" s="315"/>
      <c r="E1263" s="321"/>
      <c r="F1263" s="322"/>
      <c r="G1263" s="315"/>
    </row>
    <row r="1264" spans="1:7" s="32" customFormat="1" x14ac:dyDescent="0.25">
      <c r="A1264" s="315"/>
      <c r="B1264" s="315"/>
      <c r="C1264" s="326"/>
      <c r="D1264" s="315"/>
      <c r="E1264" s="321"/>
      <c r="F1264" s="322"/>
      <c r="G1264" s="315"/>
    </row>
    <row r="1265" spans="1:7" s="32" customFormat="1" x14ac:dyDescent="0.25">
      <c r="A1265" s="315"/>
      <c r="B1265" s="315"/>
      <c r="C1265" s="326"/>
      <c r="D1265" s="315"/>
      <c r="E1265" s="321"/>
      <c r="F1265" s="322"/>
      <c r="G1265" s="315"/>
    </row>
    <row r="1266" spans="1:7" s="32" customFormat="1" x14ac:dyDescent="0.25">
      <c r="A1266" s="315"/>
      <c r="B1266" s="315"/>
      <c r="C1266" s="326"/>
      <c r="D1266" s="315"/>
      <c r="E1266" s="321"/>
      <c r="F1266" s="322"/>
      <c r="G1266" s="315"/>
    </row>
    <row r="1267" spans="1:7" s="32" customFormat="1" x14ac:dyDescent="0.25">
      <c r="A1267" s="315"/>
      <c r="B1267" s="315"/>
      <c r="C1267" s="326"/>
      <c r="D1267" s="315"/>
      <c r="E1267" s="321"/>
      <c r="F1267" s="322"/>
      <c r="G1267" s="315"/>
    </row>
    <row r="1268" spans="1:7" s="32" customFormat="1" x14ac:dyDescent="0.25">
      <c r="A1268" s="315"/>
      <c r="B1268" s="315"/>
      <c r="C1268" s="326"/>
      <c r="D1268" s="315"/>
      <c r="E1268" s="321"/>
      <c r="F1268" s="322"/>
      <c r="G1268" s="315"/>
    </row>
    <row r="1269" spans="1:7" s="32" customFormat="1" x14ac:dyDescent="0.25">
      <c r="A1269" s="315"/>
      <c r="B1269" s="315"/>
      <c r="C1269" s="326"/>
      <c r="D1269" s="315"/>
      <c r="E1269" s="321"/>
      <c r="F1269" s="322"/>
      <c r="G1269" s="315"/>
    </row>
    <row r="1270" spans="1:7" s="32" customFormat="1" x14ac:dyDescent="0.25">
      <c r="A1270" s="315"/>
      <c r="B1270" s="315"/>
      <c r="C1270" s="326"/>
      <c r="D1270" s="315"/>
      <c r="E1270" s="321"/>
      <c r="F1270" s="322"/>
      <c r="G1270" s="315"/>
    </row>
    <row r="1271" spans="1:7" s="32" customFormat="1" x14ac:dyDescent="0.25">
      <c r="A1271" s="315"/>
      <c r="B1271" s="315"/>
      <c r="C1271" s="326"/>
      <c r="D1271" s="315"/>
      <c r="E1271" s="321"/>
      <c r="F1271" s="322"/>
      <c r="G1271" s="315"/>
    </row>
    <row r="1272" spans="1:7" s="32" customFormat="1" x14ac:dyDescent="0.25">
      <c r="A1272" s="315"/>
      <c r="B1272" s="315"/>
      <c r="C1272" s="326"/>
      <c r="D1272" s="315"/>
      <c r="E1272" s="321"/>
      <c r="F1272" s="322"/>
      <c r="G1272" s="315"/>
    </row>
    <row r="1273" spans="1:7" s="32" customFormat="1" x14ac:dyDescent="0.25">
      <c r="A1273" s="315"/>
      <c r="B1273" s="315"/>
      <c r="C1273" s="326"/>
      <c r="D1273" s="315"/>
      <c r="E1273" s="321"/>
      <c r="F1273" s="322"/>
      <c r="G1273" s="315"/>
    </row>
    <row r="1274" spans="1:7" s="32" customFormat="1" x14ac:dyDescent="0.25">
      <c r="A1274" s="315"/>
      <c r="B1274" s="315"/>
      <c r="C1274" s="326"/>
      <c r="D1274" s="315"/>
      <c r="E1274" s="321"/>
      <c r="F1274" s="322"/>
      <c r="G1274" s="315"/>
    </row>
    <row r="1275" spans="1:7" s="32" customFormat="1" x14ac:dyDescent="0.25">
      <c r="A1275" s="315"/>
      <c r="B1275" s="315"/>
      <c r="C1275" s="326"/>
      <c r="D1275" s="315"/>
      <c r="E1275" s="321"/>
      <c r="F1275" s="322"/>
      <c r="G1275" s="315"/>
    </row>
    <row r="1276" spans="1:7" s="32" customFormat="1" x14ac:dyDescent="0.25">
      <c r="A1276" s="315"/>
      <c r="B1276" s="315"/>
      <c r="C1276" s="326"/>
      <c r="D1276" s="315"/>
      <c r="E1276" s="321"/>
      <c r="F1276" s="322"/>
      <c r="G1276" s="315"/>
    </row>
    <row r="1277" spans="1:7" s="32" customFormat="1" x14ac:dyDescent="0.25">
      <c r="A1277" s="315"/>
      <c r="B1277" s="315"/>
      <c r="C1277" s="326"/>
      <c r="D1277" s="315"/>
      <c r="E1277" s="321"/>
      <c r="F1277" s="322"/>
      <c r="G1277" s="315"/>
    </row>
    <row r="1278" spans="1:7" s="32" customFormat="1" x14ac:dyDescent="0.25">
      <c r="A1278" s="315"/>
      <c r="B1278" s="315"/>
      <c r="C1278" s="326"/>
      <c r="D1278" s="315"/>
      <c r="E1278" s="321"/>
      <c r="F1278" s="322"/>
      <c r="G1278" s="315"/>
    </row>
    <row r="1279" spans="1:7" s="32" customFormat="1" x14ac:dyDescent="0.25">
      <c r="A1279" s="315"/>
      <c r="B1279" s="315"/>
      <c r="C1279" s="326"/>
      <c r="D1279" s="315"/>
      <c r="E1279" s="321"/>
      <c r="F1279" s="322"/>
      <c r="G1279" s="315"/>
    </row>
    <row r="1280" spans="1:7" s="32" customFormat="1" x14ac:dyDescent="0.25">
      <c r="A1280" s="315"/>
      <c r="B1280" s="315"/>
      <c r="C1280" s="326"/>
      <c r="D1280" s="315"/>
      <c r="E1280" s="321"/>
      <c r="F1280" s="322"/>
      <c r="G1280" s="315"/>
    </row>
    <row r="1281" spans="1:7" s="32" customFormat="1" x14ac:dyDescent="0.25">
      <c r="A1281" s="315"/>
      <c r="B1281" s="315"/>
      <c r="C1281" s="326"/>
      <c r="D1281" s="315"/>
      <c r="E1281" s="321"/>
      <c r="F1281" s="322"/>
      <c r="G1281" s="315"/>
    </row>
    <row r="1282" spans="1:7" s="32" customFormat="1" x14ac:dyDescent="0.25">
      <c r="A1282" s="315"/>
      <c r="B1282" s="315"/>
      <c r="C1282" s="326"/>
      <c r="D1282" s="315"/>
      <c r="E1282" s="321"/>
      <c r="F1282" s="322"/>
      <c r="G1282" s="315"/>
    </row>
    <row r="1283" spans="1:7" s="32" customFormat="1" x14ac:dyDescent="0.25">
      <c r="A1283" s="315"/>
      <c r="B1283" s="315"/>
      <c r="C1283" s="326"/>
      <c r="D1283" s="315"/>
      <c r="E1283" s="321"/>
      <c r="F1283" s="322"/>
      <c r="G1283" s="315"/>
    </row>
    <row r="1284" spans="1:7" s="32" customFormat="1" x14ac:dyDescent="0.25">
      <c r="A1284" s="315"/>
      <c r="B1284" s="315"/>
      <c r="C1284" s="326"/>
      <c r="D1284" s="315"/>
      <c r="E1284" s="321"/>
      <c r="F1284" s="322"/>
      <c r="G1284" s="315"/>
    </row>
    <row r="1285" spans="1:7" s="32" customFormat="1" x14ac:dyDescent="0.25">
      <c r="A1285" s="315"/>
      <c r="B1285" s="315"/>
      <c r="C1285" s="326"/>
      <c r="D1285" s="315"/>
      <c r="E1285" s="321"/>
      <c r="F1285" s="322"/>
      <c r="G1285" s="315"/>
    </row>
    <row r="1286" spans="1:7" s="32" customFormat="1" x14ac:dyDescent="0.25">
      <c r="A1286" s="315"/>
      <c r="B1286" s="315"/>
      <c r="C1286" s="326"/>
      <c r="D1286" s="315"/>
      <c r="E1286" s="321"/>
      <c r="F1286" s="322"/>
      <c r="G1286" s="315"/>
    </row>
    <row r="1287" spans="1:7" s="32" customFormat="1" x14ac:dyDescent="0.25">
      <c r="A1287" s="315"/>
      <c r="B1287" s="315"/>
      <c r="C1287" s="326"/>
      <c r="D1287" s="315"/>
      <c r="E1287" s="321"/>
      <c r="F1287" s="322"/>
      <c r="G1287" s="315"/>
    </row>
    <row r="1288" spans="1:7" s="32" customFormat="1" x14ac:dyDescent="0.25">
      <c r="A1288" s="315"/>
      <c r="B1288" s="315"/>
      <c r="C1288" s="326"/>
      <c r="D1288" s="315"/>
      <c r="E1288" s="321"/>
      <c r="F1288" s="322"/>
      <c r="G1288" s="315"/>
    </row>
    <row r="1289" spans="1:7" s="32" customFormat="1" x14ac:dyDescent="0.25">
      <c r="A1289" s="315"/>
      <c r="B1289" s="315"/>
      <c r="C1289" s="326"/>
      <c r="D1289" s="315"/>
      <c r="E1289" s="321"/>
      <c r="F1289" s="322"/>
      <c r="G1289" s="315"/>
    </row>
    <row r="1290" spans="1:7" s="32" customFormat="1" x14ac:dyDescent="0.25">
      <c r="A1290" s="315"/>
      <c r="B1290" s="315"/>
      <c r="C1290" s="326"/>
      <c r="D1290" s="315"/>
      <c r="E1290" s="321"/>
      <c r="F1290" s="322"/>
      <c r="G1290" s="315"/>
    </row>
    <row r="1291" spans="1:7" s="32" customFormat="1" x14ac:dyDescent="0.25">
      <c r="A1291" s="315"/>
      <c r="B1291" s="315"/>
      <c r="C1291" s="326"/>
      <c r="D1291" s="315"/>
      <c r="E1291" s="321"/>
      <c r="F1291" s="322"/>
      <c r="G1291" s="315"/>
    </row>
    <row r="1292" spans="1:7" s="32" customFormat="1" x14ac:dyDescent="0.25">
      <c r="A1292" s="315"/>
      <c r="B1292" s="315"/>
      <c r="C1292" s="326"/>
      <c r="D1292" s="315"/>
      <c r="E1292" s="321"/>
      <c r="F1292" s="322"/>
      <c r="G1292" s="315"/>
    </row>
    <row r="1293" spans="1:7" s="32" customFormat="1" x14ac:dyDescent="0.25">
      <c r="A1293" s="315"/>
      <c r="B1293" s="315"/>
      <c r="C1293" s="326"/>
      <c r="D1293" s="315"/>
      <c r="E1293" s="321"/>
      <c r="F1293" s="322"/>
      <c r="G1293" s="315"/>
    </row>
    <row r="1294" spans="1:7" s="32" customFormat="1" x14ac:dyDescent="0.25">
      <c r="A1294" s="315"/>
      <c r="B1294" s="315"/>
      <c r="C1294" s="326"/>
      <c r="D1294" s="315"/>
      <c r="E1294" s="321"/>
      <c r="F1294" s="322"/>
      <c r="G1294" s="315"/>
    </row>
    <row r="1295" spans="1:7" s="32" customFormat="1" x14ac:dyDescent="0.25">
      <c r="A1295" s="315"/>
      <c r="B1295" s="315"/>
      <c r="C1295" s="326"/>
      <c r="D1295" s="315"/>
      <c r="E1295" s="321"/>
      <c r="F1295" s="322"/>
      <c r="G1295" s="315"/>
    </row>
    <row r="1296" spans="1:7" s="32" customFormat="1" x14ac:dyDescent="0.25">
      <c r="A1296" s="315"/>
      <c r="B1296" s="315"/>
      <c r="C1296" s="326"/>
      <c r="D1296" s="315"/>
      <c r="E1296" s="321"/>
      <c r="F1296" s="322"/>
      <c r="G1296" s="315"/>
    </row>
    <row r="1297" spans="1:7" s="32" customFormat="1" x14ac:dyDescent="0.25">
      <c r="A1297" s="315"/>
      <c r="B1297" s="315"/>
      <c r="C1297" s="326"/>
      <c r="D1297" s="315"/>
      <c r="E1297" s="321"/>
      <c r="F1297" s="322"/>
      <c r="G1297" s="315"/>
    </row>
    <row r="1298" spans="1:7" s="32" customFormat="1" x14ac:dyDescent="0.25">
      <c r="A1298" s="315"/>
      <c r="B1298" s="315"/>
      <c r="C1298" s="326"/>
      <c r="D1298" s="315"/>
      <c r="E1298" s="321"/>
      <c r="F1298" s="322"/>
      <c r="G1298" s="315"/>
    </row>
    <row r="1299" spans="1:7" s="32" customFormat="1" x14ac:dyDescent="0.25">
      <c r="A1299" s="315"/>
      <c r="B1299" s="315"/>
      <c r="C1299" s="326"/>
      <c r="D1299" s="315"/>
      <c r="E1299" s="321"/>
      <c r="F1299" s="322"/>
      <c r="G1299" s="315"/>
    </row>
  </sheetData>
  <mergeCells count="18">
    <mergeCell ref="A382:F382"/>
    <mergeCell ref="A111:F111"/>
    <mergeCell ref="A112:F112"/>
    <mergeCell ref="A300:F300"/>
    <mergeCell ref="A301:F301"/>
    <mergeCell ref="A333:F333"/>
    <mergeCell ref="A334:F334"/>
    <mergeCell ref="A158:F158"/>
    <mergeCell ref="A265:F265"/>
    <mergeCell ref="A266:F266"/>
    <mergeCell ref="A159:F159"/>
    <mergeCell ref="A201:F201"/>
    <mergeCell ref="A202:F202"/>
    <mergeCell ref="A232:F232"/>
    <mergeCell ref="A233:F233"/>
    <mergeCell ref="C1:G1"/>
    <mergeCell ref="A30:F30"/>
    <mergeCell ref="A75:F75"/>
  </mergeCells>
  <pageMargins left="0.51181102362204722" right="0.39370078740157483" top="0.94488188976377963" bottom="0.74803149606299213" header="0.23622047244094491" footer="0.31496062992125984"/>
  <pageSetup paperSize="9" firstPageNumber="25"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E</oddHeader>
    <oddFooter>&amp;L&amp;"Arial,Regular"&amp;9Bill of Quantities&amp;R&amp;"Arial,Regular"&amp;9BOQ.&amp;P</oddFooter>
  </headerFooter>
  <rowBreaks count="1" manualBreakCount="1">
    <brk id="300"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9C1A-BC4B-4487-B7A9-00342E318B1F}">
  <dimension ref="A1:G903"/>
  <sheetViews>
    <sheetView view="pageBreakPreview" zoomScale="115" zoomScaleNormal="115" zoomScaleSheetLayoutView="115" workbookViewId="0">
      <selection activeCell="B10" sqref="B10:E10"/>
    </sheetView>
  </sheetViews>
  <sheetFormatPr defaultColWidth="8" defaultRowHeight="12" x14ac:dyDescent="0.25"/>
  <cols>
    <col min="1" max="1" width="8.28515625" style="32" bestFit="1" customWidth="1"/>
    <col min="2" max="2" width="35.140625" style="21" customWidth="1"/>
    <col min="3" max="3" width="5.140625" style="32" customWidth="1"/>
    <col min="4" max="4" width="7.140625" style="59" customWidth="1"/>
    <col min="5" max="5" width="11.7109375" style="68" customWidth="1"/>
    <col min="6" max="6" width="25.28515625" style="95" customWidth="1"/>
    <col min="7" max="16384" width="8" style="21"/>
  </cols>
  <sheetData>
    <row r="1" spans="1:6" ht="15" customHeight="1" x14ac:dyDescent="0.25">
      <c r="A1" s="89"/>
      <c r="B1" s="528" t="s">
        <v>436</v>
      </c>
      <c r="C1" s="528"/>
      <c r="D1" s="528"/>
      <c r="E1" s="528"/>
      <c r="F1" s="529"/>
    </row>
    <row r="2" spans="1:6" ht="27.75" customHeight="1" x14ac:dyDescent="0.25">
      <c r="A2" s="530" t="s">
        <v>1414</v>
      </c>
      <c r="B2" s="531"/>
      <c r="C2" s="531"/>
      <c r="D2" s="531"/>
      <c r="E2" s="531"/>
      <c r="F2" s="532"/>
    </row>
    <row r="3" spans="1:6" ht="12" customHeight="1" x14ac:dyDescent="0.25">
      <c r="A3" s="535"/>
      <c r="B3" s="536"/>
      <c r="C3" s="536"/>
      <c r="D3" s="536"/>
      <c r="E3" s="536"/>
      <c r="F3" s="537"/>
    </row>
    <row r="4" spans="1:6" ht="30" customHeight="1" x14ac:dyDescent="0.25">
      <c r="A4" s="148" t="s">
        <v>1111</v>
      </c>
      <c r="B4" s="533" t="s">
        <v>0</v>
      </c>
      <c r="C4" s="533"/>
      <c r="D4" s="533"/>
      <c r="E4" s="533"/>
      <c r="F4" s="77" t="s">
        <v>77</v>
      </c>
    </row>
    <row r="5" spans="1:6" ht="9.9499999999999993" customHeight="1" x14ac:dyDescent="0.25">
      <c r="A5" s="535"/>
      <c r="B5" s="536"/>
      <c r="C5" s="536"/>
      <c r="D5" s="536"/>
      <c r="E5" s="536"/>
      <c r="F5" s="537"/>
    </row>
    <row r="6" spans="1:6" ht="39.950000000000003" customHeight="1" x14ac:dyDescent="0.25">
      <c r="A6" s="44" t="s">
        <v>135</v>
      </c>
      <c r="B6" s="534" t="s">
        <v>608</v>
      </c>
      <c r="C6" s="534"/>
      <c r="D6" s="534"/>
      <c r="E6" s="534"/>
      <c r="F6" s="158"/>
    </row>
    <row r="7" spans="1:6" ht="9.9499999999999993" customHeight="1" x14ac:dyDescent="0.25">
      <c r="A7" s="535"/>
      <c r="B7" s="536"/>
      <c r="C7" s="536"/>
      <c r="D7" s="536"/>
      <c r="E7" s="536"/>
      <c r="F7" s="537"/>
    </row>
    <row r="8" spans="1:6" ht="39.950000000000003" customHeight="1" x14ac:dyDescent="0.25">
      <c r="A8" s="44" t="s">
        <v>136</v>
      </c>
      <c r="B8" s="534" t="s">
        <v>1107</v>
      </c>
      <c r="C8" s="534"/>
      <c r="D8" s="534"/>
      <c r="E8" s="534"/>
      <c r="F8" s="158"/>
    </row>
    <row r="9" spans="1:6" ht="9.9499999999999993" customHeight="1" x14ac:dyDescent="0.25">
      <c r="A9" s="535"/>
      <c r="B9" s="536"/>
      <c r="C9" s="536"/>
      <c r="D9" s="536"/>
      <c r="E9" s="536"/>
      <c r="F9" s="537"/>
    </row>
    <row r="10" spans="1:6" ht="39.950000000000003" customHeight="1" x14ac:dyDescent="0.25">
      <c r="A10" s="44" t="s">
        <v>1272</v>
      </c>
      <c r="B10" s="534" t="s">
        <v>550</v>
      </c>
      <c r="C10" s="534"/>
      <c r="D10" s="534"/>
      <c r="E10" s="534"/>
      <c r="F10" s="299"/>
    </row>
    <row r="11" spans="1:6" ht="9.9499999999999993" customHeight="1" x14ac:dyDescent="0.25">
      <c r="A11" s="535"/>
      <c r="B11" s="536"/>
      <c r="C11" s="536"/>
      <c r="D11" s="536"/>
      <c r="E11" s="536"/>
      <c r="F11" s="537"/>
    </row>
    <row r="12" spans="1:6" ht="39.950000000000003" customHeight="1" x14ac:dyDescent="0.25">
      <c r="A12" s="41" t="s">
        <v>140</v>
      </c>
      <c r="B12" s="526" t="s">
        <v>1360</v>
      </c>
      <c r="C12" s="526"/>
      <c r="D12" s="526"/>
      <c r="E12" s="526"/>
      <c r="F12" s="492"/>
    </row>
    <row r="13" spans="1:6" x14ac:dyDescent="0.25">
      <c r="A13" s="300"/>
      <c r="B13" s="301"/>
      <c r="C13" s="301"/>
      <c r="D13" s="301"/>
      <c r="E13" s="301"/>
      <c r="F13" s="302"/>
    </row>
    <row r="14" spans="1:6" x14ac:dyDescent="0.25">
      <c r="A14" s="300"/>
      <c r="B14" s="301"/>
      <c r="C14" s="301"/>
      <c r="D14" s="301"/>
      <c r="E14" s="301"/>
      <c r="F14" s="302"/>
    </row>
    <row r="15" spans="1:6" x14ac:dyDescent="0.25">
      <c r="A15" s="300"/>
      <c r="B15" s="301"/>
      <c r="C15" s="301"/>
      <c r="D15" s="301"/>
      <c r="E15" s="301"/>
      <c r="F15" s="302"/>
    </row>
    <row r="16" spans="1:6" x14ac:dyDescent="0.25">
      <c r="A16" s="300"/>
      <c r="B16" s="301"/>
      <c r="C16" s="301"/>
      <c r="D16" s="301"/>
      <c r="E16" s="301"/>
      <c r="F16" s="302"/>
    </row>
    <row r="17" spans="1:6" x14ac:dyDescent="0.25">
      <c r="A17" s="300"/>
      <c r="B17" s="301"/>
      <c r="C17" s="301"/>
      <c r="D17" s="301"/>
      <c r="E17" s="301"/>
      <c r="F17" s="302"/>
    </row>
    <row r="18" spans="1:6" x14ac:dyDescent="0.25">
      <c r="A18" s="300"/>
      <c r="B18" s="301"/>
      <c r="C18" s="301"/>
      <c r="D18" s="301"/>
      <c r="E18" s="301"/>
      <c r="F18" s="302"/>
    </row>
    <row r="19" spans="1:6" x14ac:dyDescent="0.25">
      <c r="A19" s="300"/>
      <c r="B19" s="301"/>
      <c r="C19" s="301"/>
      <c r="D19" s="301"/>
      <c r="E19" s="301"/>
      <c r="F19" s="302"/>
    </row>
    <row r="20" spans="1:6" x14ac:dyDescent="0.25">
      <c r="A20" s="300"/>
      <c r="B20" s="301"/>
      <c r="C20" s="301"/>
      <c r="D20" s="301"/>
      <c r="E20" s="301"/>
      <c r="F20" s="302"/>
    </row>
    <row r="21" spans="1:6" x14ac:dyDescent="0.25">
      <c r="A21" s="300"/>
      <c r="B21" s="301"/>
      <c r="C21" s="301"/>
      <c r="D21" s="301"/>
      <c r="E21" s="301"/>
      <c r="F21" s="302"/>
    </row>
    <row r="22" spans="1:6" x14ac:dyDescent="0.25">
      <c r="A22" s="300"/>
      <c r="B22" s="301"/>
      <c r="C22" s="301"/>
      <c r="D22" s="301"/>
      <c r="E22" s="301"/>
      <c r="F22" s="302"/>
    </row>
    <row r="23" spans="1:6" x14ac:dyDescent="0.25">
      <c r="A23" s="300"/>
      <c r="B23" s="301"/>
      <c r="C23" s="301"/>
      <c r="D23" s="301"/>
      <c r="E23" s="301"/>
      <c r="F23" s="302"/>
    </row>
    <row r="24" spans="1:6" x14ac:dyDescent="0.25">
      <c r="A24" s="300"/>
      <c r="B24" s="301"/>
      <c r="C24" s="301"/>
      <c r="D24" s="301"/>
      <c r="E24" s="301"/>
      <c r="F24" s="302"/>
    </row>
    <row r="25" spans="1:6" x14ac:dyDescent="0.25">
      <c r="A25" s="300"/>
      <c r="B25" s="301"/>
      <c r="C25" s="301"/>
      <c r="D25" s="301"/>
      <c r="E25" s="301"/>
      <c r="F25" s="302"/>
    </row>
    <row r="26" spans="1:6" x14ac:dyDescent="0.25">
      <c r="A26" s="300"/>
      <c r="B26" s="301"/>
      <c r="C26" s="301"/>
      <c r="D26" s="301"/>
      <c r="E26" s="301"/>
      <c r="F26" s="302"/>
    </row>
    <row r="27" spans="1:6" x14ac:dyDescent="0.25">
      <c r="A27" s="300"/>
      <c r="B27" s="301"/>
      <c r="C27" s="301"/>
      <c r="D27" s="301"/>
      <c r="E27" s="301"/>
      <c r="F27" s="302"/>
    </row>
    <row r="28" spans="1:6" ht="12" customHeight="1" x14ac:dyDescent="0.25">
      <c r="A28" s="303"/>
      <c r="B28" s="304"/>
      <c r="C28" s="35"/>
      <c r="D28" s="305"/>
      <c r="E28" s="306"/>
      <c r="F28" s="302"/>
    </row>
    <row r="29" spans="1:6" ht="12" customHeight="1" x14ac:dyDescent="0.25">
      <c r="A29" s="303"/>
      <c r="B29" s="304"/>
      <c r="C29" s="35"/>
      <c r="D29" s="305"/>
      <c r="E29" s="306"/>
      <c r="F29" s="302"/>
    </row>
    <row r="30" spans="1:6" ht="12" customHeight="1" x14ac:dyDescent="0.25">
      <c r="A30" s="303"/>
      <c r="B30" s="304"/>
      <c r="C30" s="35"/>
      <c r="D30" s="305"/>
      <c r="E30" s="306"/>
      <c r="F30" s="302"/>
    </row>
    <row r="31" spans="1:6" ht="12" customHeight="1" x14ac:dyDescent="0.25">
      <c r="A31" s="303"/>
      <c r="B31" s="304"/>
      <c r="C31" s="35"/>
      <c r="D31" s="305"/>
      <c r="E31" s="306"/>
      <c r="F31" s="302"/>
    </row>
    <row r="32" spans="1:6" ht="12" customHeight="1" x14ac:dyDescent="0.25">
      <c r="A32" s="303"/>
      <c r="B32" s="304"/>
      <c r="C32" s="35"/>
      <c r="D32" s="305"/>
      <c r="E32" s="306"/>
      <c r="F32" s="302"/>
    </row>
    <row r="33" spans="1:6" ht="12" customHeight="1" x14ac:dyDescent="0.25">
      <c r="A33" s="303"/>
      <c r="B33" s="304"/>
      <c r="C33" s="35"/>
      <c r="D33" s="305"/>
      <c r="E33" s="306"/>
      <c r="F33" s="302"/>
    </row>
    <row r="34" spans="1:6" ht="12" customHeight="1" x14ac:dyDescent="0.25">
      <c r="A34" s="303"/>
      <c r="B34" s="304"/>
      <c r="C34" s="35"/>
      <c r="D34" s="305"/>
      <c r="E34" s="306"/>
      <c r="F34" s="302"/>
    </row>
    <row r="35" spans="1:6" ht="12" customHeight="1" x14ac:dyDescent="0.25">
      <c r="A35" s="303"/>
      <c r="B35" s="304"/>
      <c r="C35" s="35"/>
      <c r="D35" s="305"/>
      <c r="E35" s="306"/>
      <c r="F35" s="302"/>
    </row>
    <row r="36" spans="1:6" ht="12" customHeight="1" x14ac:dyDescent="0.25">
      <c r="A36" s="303"/>
      <c r="B36" s="304"/>
      <c r="C36" s="35"/>
      <c r="D36" s="305"/>
      <c r="E36" s="306"/>
      <c r="F36" s="302"/>
    </row>
    <row r="37" spans="1:6" ht="12" customHeight="1" x14ac:dyDescent="0.25">
      <c r="A37" s="303"/>
      <c r="B37" s="304"/>
      <c r="C37" s="35"/>
      <c r="D37" s="305"/>
      <c r="E37" s="306"/>
      <c r="F37" s="302"/>
    </row>
    <row r="38" spans="1:6" ht="12" customHeight="1" x14ac:dyDescent="0.25">
      <c r="A38" s="303"/>
      <c r="B38" s="304"/>
      <c r="C38" s="35"/>
      <c r="D38" s="305"/>
      <c r="E38" s="306"/>
      <c r="F38" s="302"/>
    </row>
    <row r="39" spans="1:6" ht="12" customHeight="1" x14ac:dyDescent="0.25">
      <c r="A39" s="303"/>
      <c r="B39" s="304"/>
      <c r="C39" s="35"/>
      <c r="D39" s="305"/>
      <c r="E39" s="306"/>
      <c r="F39" s="302"/>
    </row>
    <row r="40" spans="1:6" ht="12" customHeight="1" x14ac:dyDescent="0.25">
      <c r="A40" s="303"/>
      <c r="B40" s="304"/>
      <c r="C40" s="35"/>
      <c r="D40" s="305"/>
      <c r="E40" s="306"/>
      <c r="F40" s="302"/>
    </row>
    <row r="41" spans="1:6" ht="12" customHeight="1" x14ac:dyDescent="0.25">
      <c r="A41" s="303"/>
      <c r="B41" s="304"/>
      <c r="C41" s="35"/>
      <c r="D41" s="305"/>
      <c r="E41" s="306"/>
      <c r="F41" s="302"/>
    </row>
    <row r="42" spans="1:6" ht="12" customHeight="1" x14ac:dyDescent="0.25">
      <c r="A42" s="303"/>
      <c r="B42" s="304"/>
      <c r="C42" s="35"/>
      <c r="D42" s="305"/>
      <c r="E42" s="306"/>
      <c r="F42" s="302"/>
    </row>
    <row r="43" spans="1:6" ht="12" customHeight="1" x14ac:dyDescent="0.25">
      <c r="A43" s="303"/>
      <c r="B43" s="304"/>
      <c r="C43" s="35"/>
      <c r="D43" s="305"/>
      <c r="E43" s="306"/>
      <c r="F43" s="302"/>
    </row>
    <row r="44" spans="1:6" ht="12" customHeight="1" x14ac:dyDescent="0.25">
      <c r="A44" s="303"/>
      <c r="B44" s="39"/>
      <c r="C44" s="35"/>
      <c r="D44" s="307"/>
      <c r="E44" s="308"/>
      <c r="F44" s="309"/>
    </row>
    <row r="45" spans="1:6" ht="12" customHeight="1" x14ac:dyDescent="0.25">
      <c r="A45" s="303"/>
      <c r="B45" s="39"/>
      <c r="C45" s="35"/>
      <c r="D45" s="307"/>
      <c r="E45" s="308"/>
      <c r="F45" s="309"/>
    </row>
    <row r="46" spans="1:6" ht="12" customHeight="1" x14ac:dyDescent="0.25">
      <c r="A46" s="303"/>
      <c r="B46" s="304"/>
      <c r="C46" s="35"/>
      <c r="D46" s="307"/>
      <c r="E46" s="308"/>
      <c r="F46" s="309"/>
    </row>
    <row r="47" spans="1:6" ht="12" customHeight="1" x14ac:dyDescent="0.25">
      <c r="A47" s="303"/>
      <c r="B47" s="310"/>
      <c r="C47" s="35"/>
      <c r="D47" s="307"/>
      <c r="E47" s="308"/>
      <c r="F47" s="309"/>
    </row>
    <row r="48" spans="1:6" ht="12" customHeight="1" x14ac:dyDescent="0.25">
      <c r="A48" s="303"/>
      <c r="B48" s="311"/>
      <c r="C48" s="35"/>
      <c r="D48" s="307"/>
      <c r="E48" s="308"/>
      <c r="F48" s="309"/>
    </row>
    <row r="49" spans="2:7" s="32" customFormat="1" ht="15" customHeight="1" x14ac:dyDescent="0.25">
      <c r="B49" s="39"/>
      <c r="D49" s="59"/>
      <c r="E49" s="68"/>
      <c r="F49" s="95"/>
      <c r="G49" s="21"/>
    </row>
    <row r="50" spans="2:7" s="32" customFormat="1" ht="15" customHeight="1" x14ac:dyDescent="0.25">
      <c r="B50" s="39"/>
      <c r="D50" s="59"/>
      <c r="E50" s="68"/>
      <c r="F50" s="95"/>
      <c r="G50" s="21"/>
    </row>
    <row r="51" spans="2:7" s="32" customFormat="1" ht="15" customHeight="1" x14ac:dyDescent="0.25">
      <c r="B51" s="39"/>
      <c r="D51" s="59"/>
      <c r="E51" s="68"/>
      <c r="F51" s="95"/>
      <c r="G51" s="21"/>
    </row>
    <row r="52" spans="2:7" s="32" customFormat="1" ht="15" customHeight="1" x14ac:dyDescent="0.25">
      <c r="B52" s="39"/>
      <c r="D52" s="59"/>
      <c r="E52" s="68"/>
      <c r="F52" s="95"/>
      <c r="G52" s="21"/>
    </row>
    <row r="53" spans="2:7" s="32" customFormat="1" ht="15" customHeight="1" x14ac:dyDescent="0.25">
      <c r="B53" s="39"/>
      <c r="D53" s="59"/>
      <c r="E53" s="68"/>
      <c r="F53" s="95"/>
      <c r="G53" s="21"/>
    </row>
    <row r="54" spans="2:7" s="32" customFormat="1" ht="15" customHeight="1" x14ac:dyDescent="0.25">
      <c r="B54" s="39"/>
      <c r="D54" s="59"/>
      <c r="E54" s="68"/>
      <c r="F54" s="95"/>
      <c r="G54" s="21"/>
    </row>
    <row r="55" spans="2:7" s="32" customFormat="1" ht="15" customHeight="1" x14ac:dyDescent="0.25">
      <c r="B55" s="39"/>
      <c r="D55" s="59"/>
      <c r="E55" s="68"/>
      <c r="F55" s="95"/>
      <c r="G55" s="21"/>
    </row>
    <row r="56" spans="2:7" s="32" customFormat="1" ht="15" customHeight="1" x14ac:dyDescent="0.25">
      <c r="B56" s="39"/>
      <c r="D56" s="59"/>
      <c r="E56" s="68"/>
      <c r="F56" s="95"/>
      <c r="G56" s="21"/>
    </row>
    <row r="57" spans="2:7" s="32" customFormat="1" ht="15" customHeight="1" x14ac:dyDescent="0.25">
      <c r="B57" s="39"/>
      <c r="D57" s="59"/>
      <c r="E57" s="68"/>
      <c r="F57" s="95"/>
      <c r="G57" s="21"/>
    </row>
    <row r="58" spans="2:7" s="32" customFormat="1" ht="15" customHeight="1" x14ac:dyDescent="0.25">
      <c r="B58" s="39"/>
      <c r="D58" s="59"/>
      <c r="E58" s="68"/>
      <c r="F58" s="95"/>
      <c r="G58" s="21"/>
    </row>
    <row r="59" spans="2:7" s="32" customFormat="1" ht="15" customHeight="1" x14ac:dyDescent="0.25">
      <c r="B59" s="39"/>
      <c r="D59" s="59"/>
      <c r="E59" s="68"/>
      <c r="F59" s="95"/>
      <c r="G59" s="21"/>
    </row>
    <row r="60" spans="2:7" s="32" customFormat="1" ht="15" customHeight="1" x14ac:dyDescent="0.25">
      <c r="B60" s="39"/>
      <c r="D60" s="59"/>
      <c r="E60" s="68"/>
      <c r="F60" s="95"/>
      <c r="G60" s="21"/>
    </row>
    <row r="61" spans="2:7" s="32" customFormat="1" ht="15" customHeight="1" x14ac:dyDescent="0.25">
      <c r="B61" s="39"/>
      <c r="D61" s="59"/>
      <c r="E61" s="68"/>
      <c r="F61" s="95"/>
      <c r="G61" s="21"/>
    </row>
    <row r="62" spans="2:7" s="32" customFormat="1" ht="15" customHeight="1" x14ac:dyDescent="0.25">
      <c r="B62" s="39"/>
      <c r="D62" s="59"/>
      <c r="E62" s="68"/>
      <c r="F62" s="95"/>
      <c r="G62" s="21"/>
    </row>
    <row r="63" spans="2:7" s="32" customFormat="1" ht="15" customHeight="1" x14ac:dyDescent="0.25">
      <c r="B63" s="39"/>
      <c r="D63" s="59"/>
      <c r="E63" s="68"/>
      <c r="F63" s="95"/>
      <c r="G63" s="21"/>
    </row>
    <row r="64" spans="2:7" s="32" customFormat="1" ht="15" customHeight="1" x14ac:dyDescent="0.25">
      <c r="B64" s="39"/>
      <c r="D64" s="59"/>
      <c r="E64" s="68"/>
      <c r="F64" s="95"/>
      <c r="G64" s="21"/>
    </row>
    <row r="65" spans="2:7" s="32" customFormat="1" ht="15" customHeight="1" x14ac:dyDescent="0.25">
      <c r="B65" s="39"/>
      <c r="D65" s="59"/>
      <c r="E65" s="68"/>
      <c r="F65" s="95"/>
      <c r="G65" s="21"/>
    </row>
    <row r="66" spans="2:7" s="32" customFormat="1" ht="15" customHeight="1" x14ac:dyDescent="0.25">
      <c r="B66" s="39"/>
      <c r="D66" s="59"/>
      <c r="E66" s="68"/>
      <c r="F66" s="95"/>
      <c r="G66" s="21"/>
    </row>
    <row r="67" spans="2:7" s="32" customFormat="1" ht="15" customHeight="1" x14ac:dyDescent="0.25">
      <c r="B67" s="39"/>
      <c r="D67" s="59"/>
      <c r="E67" s="68"/>
      <c r="F67" s="95"/>
      <c r="G67" s="21"/>
    </row>
    <row r="68" spans="2:7" s="32" customFormat="1" ht="15" customHeight="1" x14ac:dyDescent="0.25">
      <c r="B68" s="39"/>
      <c r="D68" s="59"/>
      <c r="E68" s="68"/>
      <c r="F68" s="95"/>
      <c r="G68" s="21"/>
    </row>
    <row r="69" spans="2:7" s="32" customFormat="1" ht="15" customHeight="1" x14ac:dyDescent="0.25">
      <c r="B69" s="39"/>
      <c r="D69" s="59"/>
      <c r="E69" s="68"/>
      <c r="F69" s="95"/>
      <c r="G69" s="21"/>
    </row>
    <row r="70" spans="2:7" s="32" customFormat="1" ht="15" customHeight="1" x14ac:dyDescent="0.25">
      <c r="B70" s="39"/>
      <c r="D70" s="59"/>
      <c r="E70" s="68"/>
      <c r="F70" s="95"/>
      <c r="G70" s="21"/>
    </row>
    <row r="71" spans="2:7" s="32" customFormat="1" ht="15" customHeight="1" x14ac:dyDescent="0.25">
      <c r="B71" s="39"/>
      <c r="D71" s="59"/>
      <c r="E71" s="68"/>
      <c r="F71" s="95"/>
      <c r="G71" s="21"/>
    </row>
    <row r="72" spans="2:7" s="32" customFormat="1" ht="15" customHeight="1" x14ac:dyDescent="0.25">
      <c r="B72" s="39"/>
      <c r="D72" s="59"/>
      <c r="E72" s="68"/>
      <c r="F72" s="95"/>
      <c r="G72" s="21"/>
    </row>
    <row r="73" spans="2:7" s="32" customFormat="1" ht="15" customHeight="1" x14ac:dyDescent="0.25">
      <c r="B73" s="39"/>
      <c r="D73" s="59"/>
      <c r="E73" s="68"/>
      <c r="F73" s="95"/>
      <c r="G73" s="21"/>
    </row>
    <row r="74" spans="2:7" s="32" customFormat="1" ht="15" customHeight="1" x14ac:dyDescent="0.25">
      <c r="B74" s="39"/>
      <c r="D74" s="59"/>
      <c r="E74" s="68"/>
      <c r="F74" s="95"/>
      <c r="G74" s="21"/>
    </row>
    <row r="75" spans="2:7" s="32" customFormat="1" ht="15" customHeight="1" x14ac:dyDescent="0.25">
      <c r="B75" s="39"/>
      <c r="D75" s="59"/>
      <c r="E75" s="68"/>
      <c r="F75" s="95"/>
      <c r="G75" s="21"/>
    </row>
    <row r="76" spans="2:7" s="32" customFormat="1" ht="15" customHeight="1" x14ac:dyDescent="0.25">
      <c r="B76" s="39"/>
      <c r="D76" s="59"/>
      <c r="E76" s="68"/>
      <c r="F76" s="95"/>
      <c r="G76" s="21"/>
    </row>
    <row r="77" spans="2:7" s="32" customFormat="1" ht="15" customHeight="1" x14ac:dyDescent="0.25">
      <c r="B77" s="39"/>
      <c r="D77" s="59"/>
      <c r="E77" s="68"/>
      <c r="F77" s="95"/>
      <c r="G77" s="21"/>
    </row>
    <row r="78" spans="2:7" s="32" customFormat="1" ht="15" customHeight="1" x14ac:dyDescent="0.25">
      <c r="B78" s="39"/>
      <c r="D78" s="59"/>
      <c r="E78" s="68"/>
      <c r="F78" s="95"/>
      <c r="G78" s="21"/>
    </row>
    <row r="79" spans="2:7" s="32" customFormat="1" ht="15" customHeight="1" x14ac:dyDescent="0.25">
      <c r="B79" s="39"/>
      <c r="D79" s="59"/>
      <c r="E79" s="68"/>
      <c r="F79" s="95"/>
      <c r="G79" s="21"/>
    </row>
    <row r="80" spans="2:7" s="32" customFormat="1" ht="15" customHeight="1" x14ac:dyDescent="0.25">
      <c r="B80" s="39"/>
      <c r="D80" s="59"/>
      <c r="E80" s="68"/>
      <c r="F80" s="95"/>
      <c r="G80" s="21"/>
    </row>
    <row r="81" spans="2:7" s="32" customFormat="1" ht="15" customHeight="1" x14ac:dyDescent="0.25">
      <c r="B81" s="39"/>
      <c r="D81" s="59"/>
      <c r="E81" s="68"/>
      <c r="F81" s="95"/>
      <c r="G81" s="21"/>
    </row>
    <row r="82" spans="2:7" s="32" customFormat="1" ht="15" customHeight="1" x14ac:dyDescent="0.25">
      <c r="B82" s="39"/>
      <c r="D82" s="59"/>
      <c r="E82" s="68"/>
      <c r="F82" s="95"/>
      <c r="G82" s="21"/>
    </row>
    <row r="83" spans="2:7" s="32" customFormat="1" ht="15" customHeight="1" x14ac:dyDescent="0.25">
      <c r="B83" s="39"/>
      <c r="D83" s="59"/>
      <c r="E83" s="68"/>
      <c r="F83" s="95"/>
      <c r="G83" s="21"/>
    </row>
    <row r="84" spans="2:7" s="32" customFormat="1" ht="15" customHeight="1" x14ac:dyDescent="0.25">
      <c r="B84" s="39"/>
      <c r="D84" s="59"/>
      <c r="E84" s="68"/>
      <c r="F84" s="95"/>
      <c r="G84" s="21"/>
    </row>
    <row r="85" spans="2:7" s="32" customFormat="1" ht="15" customHeight="1" x14ac:dyDescent="0.25">
      <c r="B85" s="39"/>
      <c r="D85" s="59"/>
      <c r="E85" s="68"/>
      <c r="F85" s="95"/>
      <c r="G85" s="21"/>
    </row>
    <row r="86" spans="2:7" s="32" customFormat="1" ht="15" customHeight="1" x14ac:dyDescent="0.25">
      <c r="B86" s="39"/>
      <c r="D86" s="59"/>
      <c r="E86" s="68"/>
      <c r="F86" s="95"/>
      <c r="G86" s="21"/>
    </row>
    <row r="87" spans="2:7" s="32" customFormat="1" ht="15" customHeight="1" x14ac:dyDescent="0.25">
      <c r="B87" s="39"/>
      <c r="D87" s="59"/>
      <c r="E87" s="68"/>
      <c r="F87" s="95"/>
      <c r="G87" s="21"/>
    </row>
    <row r="88" spans="2:7" s="32" customFormat="1" ht="15" customHeight="1" x14ac:dyDescent="0.25">
      <c r="B88" s="39"/>
      <c r="D88" s="59"/>
      <c r="E88" s="68"/>
      <c r="F88" s="95"/>
      <c r="G88" s="21"/>
    </row>
    <row r="89" spans="2:7" s="32" customFormat="1" ht="15" customHeight="1" x14ac:dyDescent="0.25">
      <c r="B89" s="39"/>
      <c r="D89" s="59"/>
      <c r="E89" s="68"/>
      <c r="F89" s="95"/>
      <c r="G89" s="21"/>
    </row>
    <row r="90" spans="2:7" s="32" customFormat="1" ht="15" customHeight="1" x14ac:dyDescent="0.25">
      <c r="B90" s="39"/>
      <c r="D90" s="59"/>
      <c r="E90" s="68"/>
      <c r="F90" s="95"/>
      <c r="G90" s="21"/>
    </row>
    <row r="91" spans="2:7" s="32" customFormat="1" ht="15" customHeight="1" x14ac:dyDescent="0.25">
      <c r="B91" s="39"/>
      <c r="D91" s="59"/>
      <c r="E91" s="68"/>
      <c r="F91" s="95"/>
      <c r="G91" s="21"/>
    </row>
    <row r="92" spans="2:7" s="32" customFormat="1" ht="15" customHeight="1" x14ac:dyDescent="0.25">
      <c r="B92" s="39"/>
      <c r="D92" s="59"/>
      <c r="E92" s="68"/>
      <c r="F92" s="95"/>
      <c r="G92" s="21"/>
    </row>
    <row r="93" spans="2:7" s="32" customFormat="1" ht="15" customHeight="1" x14ac:dyDescent="0.25">
      <c r="B93" s="39"/>
      <c r="D93" s="59"/>
      <c r="E93" s="68"/>
      <c r="F93" s="95"/>
      <c r="G93" s="21"/>
    </row>
    <row r="94" spans="2:7" s="32" customFormat="1" ht="15" customHeight="1" x14ac:dyDescent="0.25">
      <c r="B94" s="39"/>
      <c r="D94" s="59"/>
      <c r="E94" s="68"/>
      <c r="F94" s="95"/>
      <c r="G94" s="21"/>
    </row>
    <row r="95" spans="2:7" s="32" customFormat="1" ht="15" customHeight="1" x14ac:dyDescent="0.25">
      <c r="B95" s="39"/>
      <c r="D95" s="59"/>
      <c r="E95" s="68"/>
      <c r="F95" s="95"/>
      <c r="G95" s="21"/>
    </row>
    <row r="96" spans="2:7" s="32" customFormat="1" ht="15" customHeight="1" x14ac:dyDescent="0.25">
      <c r="B96" s="39"/>
      <c r="D96" s="59"/>
      <c r="E96" s="68"/>
      <c r="F96" s="95"/>
      <c r="G96" s="21"/>
    </row>
    <row r="97" spans="2:7" s="32" customFormat="1" ht="15" customHeight="1" x14ac:dyDescent="0.25">
      <c r="B97" s="39"/>
      <c r="D97" s="59"/>
      <c r="E97" s="68"/>
      <c r="F97" s="95"/>
      <c r="G97" s="21"/>
    </row>
    <row r="98" spans="2:7" s="32" customFormat="1" ht="15" customHeight="1" x14ac:dyDescent="0.25">
      <c r="B98" s="39"/>
      <c r="D98" s="59"/>
      <c r="E98" s="68"/>
      <c r="F98" s="95"/>
      <c r="G98" s="21"/>
    </row>
    <row r="99" spans="2:7" s="32" customFormat="1" ht="15" customHeight="1" x14ac:dyDescent="0.25">
      <c r="B99" s="39"/>
      <c r="D99" s="59"/>
      <c r="E99" s="68"/>
      <c r="F99" s="95"/>
      <c r="G99" s="21"/>
    </row>
    <row r="100" spans="2:7" s="32" customFormat="1" ht="15" customHeight="1" x14ac:dyDescent="0.25">
      <c r="B100" s="39"/>
      <c r="D100" s="59"/>
      <c r="E100" s="68"/>
      <c r="F100" s="95"/>
      <c r="G100" s="21"/>
    </row>
    <row r="101" spans="2:7" s="32" customFormat="1" ht="15" customHeight="1" x14ac:dyDescent="0.25">
      <c r="B101" s="39"/>
      <c r="D101" s="59"/>
      <c r="E101" s="68"/>
      <c r="F101" s="95"/>
      <c r="G101" s="21"/>
    </row>
    <row r="102" spans="2:7" s="32" customFormat="1" ht="15" customHeight="1" x14ac:dyDescent="0.25">
      <c r="B102" s="39"/>
      <c r="D102" s="59"/>
      <c r="E102" s="68"/>
      <c r="F102" s="95"/>
      <c r="G102" s="21"/>
    </row>
    <row r="103" spans="2:7" s="32" customFormat="1" ht="15" customHeight="1" x14ac:dyDescent="0.25">
      <c r="B103" s="39"/>
      <c r="D103" s="59"/>
      <c r="E103" s="68"/>
      <c r="F103" s="95"/>
      <c r="G103" s="21"/>
    </row>
    <row r="104" spans="2:7" s="32" customFormat="1" ht="15" customHeight="1" x14ac:dyDescent="0.25">
      <c r="B104" s="39"/>
      <c r="D104" s="59"/>
      <c r="E104" s="68"/>
      <c r="F104" s="95"/>
      <c r="G104" s="21"/>
    </row>
    <row r="105" spans="2:7" s="32" customFormat="1" ht="15" customHeight="1" x14ac:dyDescent="0.25">
      <c r="B105" s="39"/>
      <c r="D105" s="59"/>
      <c r="E105" s="68"/>
      <c r="F105" s="95"/>
      <c r="G105" s="21"/>
    </row>
    <row r="106" spans="2:7" s="32" customFormat="1" ht="15" customHeight="1" x14ac:dyDescent="0.25">
      <c r="B106" s="39"/>
      <c r="D106" s="59"/>
      <c r="E106" s="68"/>
      <c r="F106" s="95"/>
      <c r="G106" s="21"/>
    </row>
    <row r="107" spans="2:7" s="32" customFormat="1" ht="15" customHeight="1" x14ac:dyDescent="0.25">
      <c r="B107" s="39"/>
      <c r="D107" s="59"/>
      <c r="E107" s="68"/>
      <c r="F107" s="95"/>
      <c r="G107" s="21"/>
    </row>
    <row r="108" spans="2:7" s="32" customFormat="1" ht="15" customHeight="1" x14ac:dyDescent="0.25">
      <c r="B108" s="39"/>
      <c r="D108" s="59"/>
      <c r="E108" s="68"/>
      <c r="F108" s="95"/>
      <c r="G108" s="21"/>
    </row>
    <row r="109" spans="2:7" s="32" customFormat="1" ht="15" customHeight="1" x14ac:dyDescent="0.25">
      <c r="B109" s="39"/>
      <c r="D109" s="59"/>
      <c r="E109" s="68"/>
      <c r="F109" s="95"/>
      <c r="G109" s="21"/>
    </row>
    <row r="110" spans="2:7" s="32" customFormat="1" ht="15" customHeight="1" x14ac:dyDescent="0.25">
      <c r="B110" s="39"/>
      <c r="D110" s="59"/>
      <c r="E110" s="68"/>
      <c r="F110" s="95"/>
      <c r="G110" s="21"/>
    </row>
    <row r="111" spans="2:7" s="32" customFormat="1" ht="15" customHeight="1" x14ac:dyDescent="0.25">
      <c r="B111" s="39"/>
      <c r="D111" s="59"/>
      <c r="E111" s="68"/>
      <c r="F111" s="95"/>
      <c r="G111" s="21"/>
    </row>
    <row r="112" spans="2:7" s="32" customFormat="1" ht="15" customHeight="1" x14ac:dyDescent="0.25">
      <c r="B112" s="39"/>
      <c r="D112" s="59"/>
      <c r="E112" s="68"/>
      <c r="F112" s="95"/>
      <c r="G112" s="21"/>
    </row>
    <row r="113" spans="2:7" s="32" customFormat="1" ht="15" customHeight="1" x14ac:dyDescent="0.25">
      <c r="B113" s="39"/>
      <c r="D113" s="59"/>
      <c r="E113" s="68"/>
      <c r="F113" s="95"/>
      <c r="G113" s="21"/>
    </row>
    <row r="114" spans="2:7" s="32" customFormat="1" ht="15" customHeight="1" x14ac:dyDescent="0.25">
      <c r="B114" s="39"/>
      <c r="D114" s="59"/>
      <c r="E114" s="68"/>
      <c r="F114" s="95"/>
      <c r="G114" s="21"/>
    </row>
    <row r="115" spans="2:7" s="32" customFormat="1" ht="15" customHeight="1" x14ac:dyDescent="0.25">
      <c r="B115" s="39"/>
      <c r="D115" s="59"/>
      <c r="E115" s="68"/>
      <c r="F115" s="95"/>
      <c r="G115" s="21"/>
    </row>
    <row r="116" spans="2:7" s="32" customFormat="1" ht="15" customHeight="1" x14ac:dyDescent="0.25">
      <c r="B116" s="39"/>
      <c r="D116" s="59"/>
      <c r="E116" s="68"/>
      <c r="F116" s="95"/>
      <c r="G116" s="21"/>
    </row>
    <row r="117" spans="2:7" s="32" customFormat="1" ht="15" customHeight="1" x14ac:dyDescent="0.25">
      <c r="B117" s="39"/>
      <c r="D117" s="59"/>
      <c r="E117" s="68"/>
      <c r="F117" s="95"/>
      <c r="G117" s="21"/>
    </row>
    <row r="118" spans="2:7" s="32" customFormat="1" ht="15" customHeight="1" x14ac:dyDescent="0.25">
      <c r="B118" s="39"/>
      <c r="D118" s="59"/>
      <c r="E118" s="68"/>
      <c r="F118" s="95"/>
      <c r="G118" s="21"/>
    </row>
    <row r="119" spans="2:7" s="32" customFormat="1" ht="15" customHeight="1" x14ac:dyDescent="0.25">
      <c r="B119" s="39"/>
      <c r="D119" s="59"/>
      <c r="E119" s="68"/>
      <c r="F119" s="95"/>
      <c r="G119" s="21"/>
    </row>
    <row r="120" spans="2:7" s="32" customFormat="1" ht="15" customHeight="1" x14ac:dyDescent="0.25">
      <c r="B120" s="39"/>
      <c r="D120" s="59"/>
      <c r="E120" s="68"/>
      <c r="F120" s="95"/>
      <c r="G120" s="21"/>
    </row>
    <row r="121" spans="2:7" s="32" customFormat="1" ht="15" customHeight="1" x14ac:dyDescent="0.25">
      <c r="B121" s="39"/>
      <c r="D121" s="59"/>
      <c r="E121" s="68"/>
      <c r="F121" s="95"/>
      <c r="G121" s="21"/>
    </row>
    <row r="122" spans="2:7" s="32" customFormat="1" ht="15" customHeight="1" x14ac:dyDescent="0.25">
      <c r="B122" s="39"/>
      <c r="D122" s="59"/>
      <c r="E122" s="68"/>
      <c r="F122" s="95"/>
      <c r="G122" s="21"/>
    </row>
    <row r="123" spans="2:7" s="32" customFormat="1" ht="15" customHeight="1" x14ac:dyDescent="0.25">
      <c r="B123" s="39"/>
      <c r="D123" s="59"/>
      <c r="E123" s="68"/>
      <c r="F123" s="95"/>
      <c r="G123" s="21"/>
    </row>
    <row r="124" spans="2:7" s="32" customFormat="1" ht="15" customHeight="1" x14ac:dyDescent="0.25">
      <c r="B124" s="39"/>
      <c r="D124" s="59"/>
      <c r="E124" s="68"/>
      <c r="F124" s="95"/>
      <c r="G124" s="21"/>
    </row>
    <row r="125" spans="2:7" s="32" customFormat="1" ht="15" customHeight="1" x14ac:dyDescent="0.25">
      <c r="B125" s="39"/>
      <c r="D125" s="59"/>
      <c r="E125" s="68"/>
      <c r="F125" s="95"/>
      <c r="G125" s="21"/>
    </row>
    <row r="126" spans="2:7" s="32" customFormat="1" ht="15" customHeight="1" x14ac:dyDescent="0.25">
      <c r="B126" s="39"/>
      <c r="D126" s="59"/>
      <c r="E126" s="68"/>
      <c r="F126" s="95"/>
      <c r="G126" s="21"/>
    </row>
    <row r="127" spans="2:7" s="32" customFormat="1" ht="15" customHeight="1" x14ac:dyDescent="0.25">
      <c r="B127" s="39"/>
      <c r="D127" s="59"/>
      <c r="E127" s="68"/>
      <c r="F127" s="95"/>
      <c r="G127" s="21"/>
    </row>
    <row r="128" spans="2:7" s="32" customFormat="1" ht="15" customHeight="1" x14ac:dyDescent="0.25">
      <c r="B128" s="39"/>
      <c r="D128" s="59"/>
      <c r="E128" s="68"/>
      <c r="F128" s="95"/>
      <c r="G128" s="21"/>
    </row>
    <row r="129" spans="2:7" s="32" customFormat="1" ht="15" customHeight="1" x14ac:dyDescent="0.25">
      <c r="B129" s="39"/>
      <c r="D129" s="59"/>
      <c r="E129" s="68"/>
      <c r="F129" s="95"/>
      <c r="G129" s="21"/>
    </row>
    <row r="130" spans="2:7" s="32" customFormat="1" ht="15" customHeight="1" x14ac:dyDescent="0.25">
      <c r="B130" s="39"/>
      <c r="D130" s="59"/>
      <c r="E130" s="68"/>
      <c r="F130" s="95"/>
      <c r="G130" s="21"/>
    </row>
    <row r="131" spans="2:7" s="32" customFormat="1" ht="15" customHeight="1" x14ac:dyDescent="0.25">
      <c r="B131" s="39"/>
      <c r="D131" s="59"/>
      <c r="E131" s="68"/>
      <c r="F131" s="95"/>
      <c r="G131" s="21"/>
    </row>
    <row r="132" spans="2:7" s="32" customFormat="1" ht="15" customHeight="1" x14ac:dyDescent="0.25">
      <c r="B132" s="39"/>
      <c r="D132" s="59"/>
      <c r="E132" s="68"/>
      <c r="F132" s="95"/>
      <c r="G132" s="21"/>
    </row>
    <row r="133" spans="2:7" s="32" customFormat="1" ht="15" customHeight="1" x14ac:dyDescent="0.25">
      <c r="B133" s="39"/>
      <c r="D133" s="59"/>
      <c r="E133" s="68"/>
      <c r="F133" s="95"/>
      <c r="G133" s="21"/>
    </row>
    <row r="134" spans="2:7" s="32" customFormat="1" ht="15" customHeight="1" x14ac:dyDescent="0.25">
      <c r="B134" s="39"/>
      <c r="D134" s="59"/>
      <c r="E134" s="68"/>
      <c r="F134" s="95"/>
      <c r="G134" s="21"/>
    </row>
    <row r="135" spans="2:7" s="32" customFormat="1" ht="15" customHeight="1" x14ac:dyDescent="0.25">
      <c r="B135" s="39"/>
      <c r="D135" s="59"/>
      <c r="E135" s="68"/>
      <c r="F135" s="95"/>
      <c r="G135" s="21"/>
    </row>
    <row r="136" spans="2:7" s="32" customFormat="1" ht="15" customHeight="1" x14ac:dyDescent="0.25">
      <c r="B136" s="39"/>
      <c r="D136" s="59"/>
      <c r="E136" s="68"/>
      <c r="F136" s="95"/>
      <c r="G136" s="21"/>
    </row>
    <row r="137" spans="2:7" s="32" customFormat="1" ht="15" customHeight="1" x14ac:dyDescent="0.25">
      <c r="B137" s="39"/>
      <c r="D137" s="59"/>
      <c r="E137" s="68"/>
      <c r="F137" s="95"/>
      <c r="G137" s="21"/>
    </row>
    <row r="138" spans="2:7" s="32" customFormat="1" ht="15" customHeight="1" x14ac:dyDescent="0.25">
      <c r="B138" s="39"/>
      <c r="D138" s="59"/>
      <c r="E138" s="68"/>
      <c r="F138" s="95"/>
      <c r="G138" s="21"/>
    </row>
    <row r="139" spans="2:7" s="32" customFormat="1" ht="15" customHeight="1" x14ac:dyDescent="0.25">
      <c r="B139" s="39"/>
      <c r="D139" s="59"/>
      <c r="E139" s="68"/>
      <c r="F139" s="95"/>
      <c r="G139" s="21"/>
    </row>
    <row r="140" spans="2:7" s="32" customFormat="1" ht="15" customHeight="1" x14ac:dyDescent="0.25">
      <c r="B140" s="39"/>
      <c r="D140" s="59"/>
      <c r="E140" s="68"/>
      <c r="F140" s="95"/>
      <c r="G140" s="21"/>
    </row>
    <row r="141" spans="2:7" s="32" customFormat="1" ht="15" customHeight="1" x14ac:dyDescent="0.25">
      <c r="B141" s="39"/>
      <c r="D141" s="59"/>
      <c r="E141" s="68"/>
      <c r="F141" s="95"/>
      <c r="G141" s="21"/>
    </row>
    <row r="142" spans="2:7" s="32" customFormat="1" ht="15" customHeight="1" x14ac:dyDescent="0.25">
      <c r="B142" s="39"/>
      <c r="D142" s="59"/>
      <c r="E142" s="68"/>
      <c r="F142" s="95"/>
      <c r="G142" s="21"/>
    </row>
    <row r="143" spans="2:7" s="32" customFormat="1" ht="15" customHeight="1" x14ac:dyDescent="0.25">
      <c r="B143" s="39"/>
      <c r="D143" s="59"/>
      <c r="E143" s="68"/>
      <c r="F143" s="95"/>
      <c r="G143" s="21"/>
    </row>
    <row r="144" spans="2:7" s="32" customFormat="1" ht="15" customHeight="1" x14ac:dyDescent="0.25">
      <c r="B144" s="39"/>
      <c r="D144" s="59"/>
      <c r="E144" s="68"/>
      <c r="F144" s="95"/>
      <c r="G144" s="21"/>
    </row>
    <row r="145" spans="2:7" s="32" customFormat="1" ht="15" customHeight="1" x14ac:dyDescent="0.25">
      <c r="B145" s="39"/>
      <c r="D145" s="59"/>
      <c r="E145" s="68"/>
      <c r="F145" s="95"/>
      <c r="G145" s="21"/>
    </row>
    <row r="146" spans="2:7" s="32" customFormat="1" ht="15" customHeight="1" x14ac:dyDescent="0.25">
      <c r="B146" s="39"/>
      <c r="D146" s="59"/>
      <c r="E146" s="68"/>
      <c r="F146" s="95"/>
      <c r="G146" s="21"/>
    </row>
    <row r="147" spans="2:7" s="32" customFormat="1" ht="15" customHeight="1" x14ac:dyDescent="0.25">
      <c r="B147" s="39"/>
      <c r="D147" s="59"/>
      <c r="E147" s="68"/>
      <c r="F147" s="95"/>
      <c r="G147" s="21"/>
    </row>
    <row r="148" spans="2:7" s="32" customFormat="1" ht="15" customHeight="1" x14ac:dyDescent="0.25">
      <c r="B148" s="39"/>
      <c r="D148" s="59"/>
      <c r="E148" s="68"/>
      <c r="F148" s="95"/>
      <c r="G148" s="21"/>
    </row>
    <row r="149" spans="2:7" s="32" customFormat="1" ht="15" customHeight="1" x14ac:dyDescent="0.25">
      <c r="B149" s="39"/>
      <c r="D149" s="59"/>
      <c r="E149" s="68"/>
      <c r="F149" s="95"/>
      <c r="G149" s="21"/>
    </row>
    <row r="150" spans="2:7" s="32" customFormat="1" ht="15" customHeight="1" x14ac:dyDescent="0.25">
      <c r="B150" s="39"/>
      <c r="D150" s="59"/>
      <c r="E150" s="68"/>
      <c r="F150" s="95"/>
      <c r="G150" s="21"/>
    </row>
    <row r="151" spans="2:7" s="32" customFormat="1" ht="15" customHeight="1" x14ac:dyDescent="0.25">
      <c r="B151" s="39"/>
      <c r="D151" s="59"/>
      <c r="E151" s="68"/>
      <c r="F151" s="95"/>
      <c r="G151" s="21"/>
    </row>
    <row r="152" spans="2:7" s="32" customFormat="1" ht="15" customHeight="1" x14ac:dyDescent="0.25">
      <c r="B152" s="39"/>
      <c r="D152" s="59"/>
      <c r="E152" s="68"/>
      <c r="F152" s="95"/>
      <c r="G152" s="21"/>
    </row>
    <row r="153" spans="2:7" s="32" customFormat="1" ht="15" customHeight="1" x14ac:dyDescent="0.25">
      <c r="B153" s="39"/>
      <c r="D153" s="59"/>
      <c r="E153" s="68"/>
      <c r="F153" s="95"/>
      <c r="G153" s="21"/>
    </row>
    <row r="154" spans="2:7" s="32" customFormat="1" ht="15" customHeight="1" x14ac:dyDescent="0.25">
      <c r="B154" s="39"/>
      <c r="D154" s="59"/>
      <c r="E154" s="68"/>
      <c r="F154" s="95"/>
      <c r="G154" s="21"/>
    </row>
    <row r="155" spans="2:7" s="32" customFormat="1" ht="15" customHeight="1" x14ac:dyDescent="0.25">
      <c r="B155" s="39"/>
      <c r="D155" s="59"/>
      <c r="E155" s="68"/>
      <c r="F155" s="95"/>
      <c r="G155" s="21"/>
    </row>
    <row r="156" spans="2:7" s="32" customFormat="1" ht="15" customHeight="1" x14ac:dyDescent="0.25">
      <c r="B156" s="39"/>
      <c r="D156" s="59"/>
      <c r="E156" s="68"/>
      <c r="F156" s="95"/>
      <c r="G156" s="21"/>
    </row>
    <row r="157" spans="2:7" s="32" customFormat="1" ht="15" customHeight="1" x14ac:dyDescent="0.25">
      <c r="B157" s="39"/>
      <c r="D157" s="59"/>
      <c r="E157" s="68"/>
      <c r="F157" s="95"/>
      <c r="G157" s="21"/>
    </row>
    <row r="158" spans="2:7" s="32" customFormat="1" ht="15" customHeight="1" x14ac:dyDescent="0.25">
      <c r="B158" s="39"/>
      <c r="D158" s="59"/>
      <c r="E158" s="68"/>
      <c r="F158" s="95"/>
      <c r="G158" s="21"/>
    </row>
    <row r="159" spans="2:7" s="32" customFormat="1" ht="15" customHeight="1" x14ac:dyDescent="0.25">
      <c r="B159" s="39"/>
      <c r="D159" s="59"/>
      <c r="E159" s="68"/>
      <c r="F159" s="95"/>
      <c r="G159" s="21"/>
    </row>
    <row r="160" spans="2:7" s="32" customFormat="1" ht="15" customHeight="1" x14ac:dyDescent="0.25">
      <c r="B160" s="39"/>
      <c r="D160" s="59"/>
      <c r="E160" s="68"/>
      <c r="F160" s="95"/>
      <c r="G160" s="21"/>
    </row>
    <row r="161" spans="2:7" s="32" customFormat="1" ht="15" customHeight="1" x14ac:dyDescent="0.25">
      <c r="B161" s="39"/>
      <c r="D161" s="59"/>
      <c r="E161" s="68"/>
      <c r="F161" s="95"/>
      <c r="G161" s="21"/>
    </row>
    <row r="162" spans="2:7" s="32" customFormat="1" ht="15" customHeight="1" x14ac:dyDescent="0.25">
      <c r="B162" s="39"/>
      <c r="D162" s="59"/>
      <c r="E162" s="68"/>
      <c r="F162" s="95"/>
      <c r="G162" s="21"/>
    </row>
    <row r="163" spans="2:7" s="32" customFormat="1" ht="15" customHeight="1" x14ac:dyDescent="0.25">
      <c r="B163" s="39"/>
      <c r="D163" s="59"/>
      <c r="E163" s="68"/>
      <c r="F163" s="95"/>
      <c r="G163" s="21"/>
    </row>
    <row r="164" spans="2:7" s="32" customFormat="1" ht="15" customHeight="1" x14ac:dyDescent="0.25">
      <c r="B164" s="39"/>
      <c r="D164" s="59"/>
      <c r="E164" s="68"/>
      <c r="F164" s="95"/>
      <c r="G164" s="21"/>
    </row>
    <row r="165" spans="2:7" s="32" customFormat="1" ht="15" customHeight="1" x14ac:dyDescent="0.25">
      <c r="B165" s="39"/>
      <c r="D165" s="59"/>
      <c r="E165" s="68"/>
      <c r="F165" s="95"/>
      <c r="G165" s="21"/>
    </row>
    <row r="166" spans="2:7" s="32" customFormat="1" ht="15" customHeight="1" x14ac:dyDescent="0.25">
      <c r="B166" s="39"/>
      <c r="D166" s="59"/>
      <c r="E166" s="68"/>
      <c r="F166" s="95"/>
      <c r="G166" s="21"/>
    </row>
    <row r="167" spans="2:7" s="32" customFormat="1" ht="15" customHeight="1" x14ac:dyDescent="0.25">
      <c r="B167" s="39"/>
      <c r="D167" s="59"/>
      <c r="E167" s="68"/>
      <c r="F167" s="95"/>
      <c r="G167" s="21"/>
    </row>
    <row r="168" spans="2:7" s="32" customFormat="1" ht="15" customHeight="1" x14ac:dyDescent="0.25">
      <c r="B168" s="39"/>
      <c r="D168" s="59"/>
      <c r="E168" s="68"/>
      <c r="F168" s="95"/>
      <c r="G168" s="21"/>
    </row>
    <row r="169" spans="2:7" s="32" customFormat="1" ht="15" customHeight="1" x14ac:dyDescent="0.25">
      <c r="B169" s="39"/>
      <c r="D169" s="59"/>
      <c r="E169" s="68"/>
      <c r="F169" s="95"/>
      <c r="G169" s="21"/>
    </row>
    <row r="170" spans="2:7" s="32" customFormat="1" ht="15" customHeight="1" x14ac:dyDescent="0.25">
      <c r="B170" s="39"/>
      <c r="D170" s="59"/>
      <c r="E170" s="68"/>
      <c r="F170" s="95"/>
      <c r="G170" s="21"/>
    </row>
    <row r="171" spans="2:7" s="32" customFormat="1" ht="15" customHeight="1" x14ac:dyDescent="0.25">
      <c r="B171" s="39"/>
      <c r="D171" s="59"/>
      <c r="E171" s="68"/>
      <c r="F171" s="95"/>
      <c r="G171" s="21"/>
    </row>
    <row r="172" spans="2:7" s="32" customFormat="1" ht="15" customHeight="1" x14ac:dyDescent="0.25">
      <c r="B172" s="39"/>
      <c r="D172" s="59"/>
      <c r="E172" s="68"/>
      <c r="F172" s="95"/>
      <c r="G172" s="21"/>
    </row>
    <row r="173" spans="2:7" s="32" customFormat="1" ht="15" customHeight="1" x14ac:dyDescent="0.25">
      <c r="B173" s="39"/>
      <c r="D173" s="59"/>
      <c r="E173" s="68"/>
      <c r="F173" s="95"/>
      <c r="G173" s="21"/>
    </row>
    <row r="174" spans="2:7" s="32" customFormat="1" ht="15" customHeight="1" x14ac:dyDescent="0.25">
      <c r="B174" s="39"/>
      <c r="D174" s="59"/>
      <c r="E174" s="68"/>
      <c r="F174" s="95"/>
      <c r="G174" s="21"/>
    </row>
    <row r="175" spans="2:7" s="32" customFormat="1" ht="15" customHeight="1" x14ac:dyDescent="0.25">
      <c r="B175" s="39"/>
      <c r="D175" s="59"/>
      <c r="E175" s="68"/>
      <c r="F175" s="95"/>
      <c r="G175" s="21"/>
    </row>
    <row r="176" spans="2:7" s="32" customFormat="1" ht="15" customHeight="1" x14ac:dyDescent="0.25">
      <c r="B176" s="39"/>
      <c r="D176" s="59"/>
      <c r="E176" s="68"/>
      <c r="F176" s="95"/>
      <c r="G176" s="21"/>
    </row>
    <row r="177" spans="2:7" s="32" customFormat="1" ht="15" customHeight="1" x14ac:dyDescent="0.25">
      <c r="B177" s="39"/>
      <c r="D177" s="59"/>
      <c r="E177" s="68"/>
      <c r="F177" s="95"/>
      <c r="G177" s="21"/>
    </row>
    <row r="178" spans="2:7" s="32" customFormat="1" ht="15" customHeight="1" x14ac:dyDescent="0.25">
      <c r="B178" s="39"/>
      <c r="D178" s="59"/>
      <c r="E178" s="68"/>
      <c r="F178" s="95"/>
      <c r="G178" s="21"/>
    </row>
    <row r="179" spans="2:7" s="32" customFormat="1" ht="15" customHeight="1" x14ac:dyDescent="0.25">
      <c r="B179" s="39"/>
      <c r="D179" s="59"/>
      <c r="E179" s="68"/>
      <c r="F179" s="95"/>
      <c r="G179" s="21"/>
    </row>
    <row r="180" spans="2:7" s="32" customFormat="1" ht="15" customHeight="1" x14ac:dyDescent="0.25">
      <c r="B180" s="39"/>
      <c r="D180" s="59"/>
      <c r="E180" s="68"/>
      <c r="F180" s="95"/>
      <c r="G180" s="21"/>
    </row>
    <row r="181" spans="2:7" s="32" customFormat="1" ht="15" customHeight="1" x14ac:dyDescent="0.25">
      <c r="B181" s="39"/>
      <c r="D181" s="59"/>
      <c r="E181" s="68"/>
      <c r="F181" s="95"/>
      <c r="G181" s="21"/>
    </row>
    <row r="182" spans="2:7" s="32" customFormat="1" ht="15" customHeight="1" x14ac:dyDescent="0.25">
      <c r="B182" s="39"/>
      <c r="D182" s="59"/>
      <c r="E182" s="68"/>
      <c r="F182" s="95"/>
      <c r="G182" s="21"/>
    </row>
    <row r="183" spans="2:7" s="32" customFormat="1" ht="15" customHeight="1" x14ac:dyDescent="0.25">
      <c r="B183" s="39"/>
      <c r="D183" s="59"/>
      <c r="E183" s="68"/>
      <c r="F183" s="95"/>
      <c r="G183" s="21"/>
    </row>
    <row r="184" spans="2:7" s="32" customFormat="1" ht="15" customHeight="1" x14ac:dyDescent="0.25">
      <c r="B184" s="39"/>
      <c r="D184" s="59"/>
      <c r="E184" s="68"/>
      <c r="F184" s="95"/>
      <c r="G184" s="21"/>
    </row>
    <row r="185" spans="2:7" s="32" customFormat="1" ht="15" customHeight="1" x14ac:dyDescent="0.25">
      <c r="B185" s="39"/>
      <c r="D185" s="59"/>
      <c r="E185" s="68"/>
      <c r="F185" s="95"/>
      <c r="G185" s="21"/>
    </row>
    <row r="186" spans="2:7" s="32" customFormat="1" ht="15" customHeight="1" x14ac:dyDescent="0.25">
      <c r="B186" s="39"/>
      <c r="D186" s="59"/>
      <c r="E186" s="68"/>
      <c r="F186" s="95"/>
      <c r="G186" s="21"/>
    </row>
    <row r="187" spans="2:7" s="32" customFormat="1" ht="15" customHeight="1" x14ac:dyDescent="0.25">
      <c r="B187" s="39"/>
      <c r="D187" s="59"/>
      <c r="E187" s="68"/>
      <c r="F187" s="95"/>
      <c r="G187" s="21"/>
    </row>
    <row r="188" spans="2:7" s="32" customFormat="1" ht="15" customHeight="1" x14ac:dyDescent="0.25">
      <c r="B188" s="39"/>
      <c r="D188" s="59"/>
      <c r="E188" s="68"/>
      <c r="F188" s="95"/>
      <c r="G188" s="21"/>
    </row>
    <row r="189" spans="2:7" s="32" customFormat="1" ht="15" customHeight="1" x14ac:dyDescent="0.25">
      <c r="B189" s="39"/>
      <c r="D189" s="59"/>
      <c r="E189" s="68"/>
      <c r="F189" s="95"/>
      <c r="G189" s="21"/>
    </row>
    <row r="190" spans="2:7" s="32" customFormat="1" ht="15" customHeight="1" x14ac:dyDescent="0.25">
      <c r="B190" s="39"/>
      <c r="D190" s="59"/>
      <c r="E190" s="68"/>
      <c r="F190" s="95"/>
      <c r="G190" s="21"/>
    </row>
    <row r="191" spans="2:7" s="32" customFormat="1" ht="15" customHeight="1" x14ac:dyDescent="0.25">
      <c r="B191" s="39"/>
      <c r="D191" s="59"/>
      <c r="E191" s="68"/>
      <c r="F191" s="95"/>
      <c r="G191" s="21"/>
    </row>
    <row r="192" spans="2:7" s="32" customFormat="1" ht="15" customHeight="1" x14ac:dyDescent="0.25">
      <c r="B192" s="39"/>
      <c r="D192" s="59"/>
      <c r="E192" s="68"/>
      <c r="F192" s="95"/>
      <c r="G192" s="21"/>
    </row>
    <row r="193" spans="2:7" s="32" customFormat="1" ht="15" customHeight="1" x14ac:dyDescent="0.25">
      <c r="B193" s="39"/>
      <c r="D193" s="59"/>
      <c r="E193" s="68"/>
      <c r="F193" s="95"/>
      <c r="G193" s="21"/>
    </row>
    <row r="194" spans="2:7" s="32" customFormat="1" ht="15" customHeight="1" x14ac:dyDescent="0.25">
      <c r="B194" s="39"/>
      <c r="D194" s="59"/>
      <c r="E194" s="68"/>
      <c r="F194" s="95"/>
      <c r="G194" s="21"/>
    </row>
    <row r="195" spans="2:7" s="32" customFormat="1" ht="15" customHeight="1" x14ac:dyDescent="0.25">
      <c r="B195" s="39"/>
      <c r="D195" s="59"/>
      <c r="E195" s="68"/>
      <c r="F195" s="95"/>
      <c r="G195" s="21"/>
    </row>
    <row r="196" spans="2:7" s="32" customFormat="1" ht="15" customHeight="1" x14ac:dyDescent="0.25">
      <c r="B196" s="39"/>
      <c r="D196" s="59"/>
      <c r="E196" s="68"/>
      <c r="F196" s="95"/>
      <c r="G196" s="21"/>
    </row>
    <row r="197" spans="2:7" s="32" customFormat="1" ht="15" customHeight="1" x14ac:dyDescent="0.25">
      <c r="B197" s="39"/>
      <c r="D197" s="59"/>
      <c r="E197" s="68"/>
      <c r="F197" s="95"/>
      <c r="G197" s="21"/>
    </row>
    <row r="198" spans="2:7" s="32" customFormat="1" ht="15" customHeight="1" x14ac:dyDescent="0.25">
      <c r="B198" s="39"/>
      <c r="D198" s="59"/>
      <c r="E198" s="68"/>
      <c r="F198" s="95"/>
      <c r="G198" s="21"/>
    </row>
    <row r="199" spans="2:7" s="32" customFormat="1" ht="15" customHeight="1" x14ac:dyDescent="0.25">
      <c r="B199" s="39"/>
      <c r="D199" s="59"/>
      <c r="E199" s="68"/>
      <c r="F199" s="95"/>
      <c r="G199" s="21"/>
    </row>
    <row r="200" spans="2:7" s="32" customFormat="1" ht="15" customHeight="1" x14ac:dyDescent="0.25">
      <c r="B200" s="39"/>
      <c r="D200" s="59"/>
      <c r="E200" s="68"/>
      <c r="F200" s="95"/>
      <c r="G200" s="21"/>
    </row>
    <row r="201" spans="2:7" s="32" customFormat="1" ht="15" customHeight="1" x14ac:dyDescent="0.25">
      <c r="B201" s="39"/>
      <c r="D201" s="59"/>
      <c r="E201" s="68"/>
      <c r="F201" s="95"/>
      <c r="G201" s="21"/>
    </row>
    <row r="202" spans="2:7" s="32" customFormat="1" ht="15" customHeight="1" x14ac:dyDescent="0.25">
      <c r="B202" s="39"/>
      <c r="D202" s="59"/>
      <c r="E202" s="68"/>
      <c r="F202" s="95"/>
      <c r="G202" s="21"/>
    </row>
    <row r="203" spans="2:7" s="32" customFormat="1" ht="15" customHeight="1" x14ac:dyDescent="0.25">
      <c r="B203" s="39"/>
      <c r="D203" s="59"/>
      <c r="E203" s="68"/>
      <c r="F203" s="95"/>
      <c r="G203" s="21"/>
    </row>
    <row r="204" spans="2:7" s="32" customFormat="1" ht="15" customHeight="1" x14ac:dyDescent="0.25">
      <c r="B204" s="39"/>
      <c r="D204" s="59"/>
      <c r="E204" s="68"/>
      <c r="F204" s="95"/>
      <c r="G204" s="21"/>
    </row>
    <row r="205" spans="2:7" s="32" customFormat="1" ht="15" customHeight="1" x14ac:dyDescent="0.25">
      <c r="B205" s="39"/>
      <c r="D205" s="59"/>
      <c r="E205" s="68"/>
      <c r="F205" s="95"/>
      <c r="G205" s="21"/>
    </row>
    <row r="206" spans="2:7" s="32" customFormat="1" ht="15" customHeight="1" x14ac:dyDescent="0.25">
      <c r="B206" s="39"/>
      <c r="D206" s="59"/>
      <c r="E206" s="68"/>
      <c r="F206" s="95"/>
      <c r="G206" s="21"/>
    </row>
    <row r="207" spans="2:7" s="32" customFormat="1" ht="15" customHeight="1" x14ac:dyDescent="0.25">
      <c r="B207" s="39"/>
      <c r="D207" s="59"/>
      <c r="E207" s="68"/>
      <c r="F207" s="95"/>
      <c r="G207" s="21"/>
    </row>
    <row r="208" spans="2:7" s="32" customFormat="1" ht="15" customHeight="1" x14ac:dyDescent="0.25">
      <c r="B208" s="39"/>
      <c r="D208" s="59"/>
      <c r="E208" s="68"/>
      <c r="F208" s="95"/>
      <c r="G208" s="21"/>
    </row>
    <row r="209" spans="2:7" s="32" customFormat="1" ht="15" customHeight="1" x14ac:dyDescent="0.25">
      <c r="B209" s="39"/>
      <c r="D209" s="59"/>
      <c r="E209" s="68"/>
      <c r="F209" s="95"/>
      <c r="G209" s="21"/>
    </row>
    <row r="210" spans="2:7" s="32" customFormat="1" ht="15" customHeight="1" x14ac:dyDescent="0.25">
      <c r="B210" s="39"/>
      <c r="D210" s="59"/>
      <c r="E210" s="68"/>
      <c r="F210" s="95"/>
      <c r="G210" s="21"/>
    </row>
    <row r="211" spans="2:7" s="32" customFormat="1" ht="15" customHeight="1" x14ac:dyDescent="0.25">
      <c r="B211" s="39"/>
      <c r="D211" s="59"/>
      <c r="E211" s="68"/>
      <c r="F211" s="95"/>
      <c r="G211" s="21"/>
    </row>
    <row r="212" spans="2:7" s="32" customFormat="1" ht="15" customHeight="1" x14ac:dyDescent="0.25">
      <c r="B212" s="39"/>
      <c r="D212" s="59"/>
      <c r="E212" s="68"/>
      <c r="F212" s="95"/>
      <c r="G212" s="21"/>
    </row>
    <row r="213" spans="2:7" s="32" customFormat="1" ht="15" customHeight="1" x14ac:dyDescent="0.25">
      <c r="B213" s="39"/>
      <c r="D213" s="59"/>
      <c r="E213" s="68"/>
      <c r="F213" s="95"/>
      <c r="G213" s="21"/>
    </row>
    <row r="214" spans="2:7" s="32" customFormat="1" ht="15" customHeight="1" x14ac:dyDescent="0.25">
      <c r="B214" s="39"/>
      <c r="D214" s="59"/>
      <c r="E214" s="68"/>
      <c r="F214" s="95"/>
      <c r="G214" s="21"/>
    </row>
    <row r="215" spans="2:7" s="32" customFormat="1" ht="15" customHeight="1" x14ac:dyDescent="0.25">
      <c r="B215" s="39"/>
      <c r="D215" s="59"/>
      <c r="E215" s="68"/>
      <c r="F215" s="95"/>
      <c r="G215" s="21"/>
    </row>
    <row r="216" spans="2:7" s="32" customFormat="1" ht="15" customHeight="1" x14ac:dyDescent="0.25">
      <c r="B216" s="39"/>
      <c r="D216" s="59"/>
      <c r="E216" s="68"/>
      <c r="F216" s="95"/>
      <c r="G216" s="21"/>
    </row>
    <row r="217" spans="2:7" s="32" customFormat="1" ht="15" customHeight="1" x14ac:dyDescent="0.25">
      <c r="B217" s="39"/>
      <c r="D217" s="59"/>
      <c r="E217" s="68"/>
      <c r="F217" s="95"/>
      <c r="G217" s="21"/>
    </row>
    <row r="218" spans="2:7" s="32" customFormat="1" ht="15" customHeight="1" x14ac:dyDescent="0.25">
      <c r="B218" s="39"/>
      <c r="D218" s="59"/>
      <c r="E218" s="68"/>
      <c r="F218" s="95"/>
      <c r="G218" s="21"/>
    </row>
    <row r="219" spans="2:7" s="32" customFormat="1" ht="15" customHeight="1" x14ac:dyDescent="0.25">
      <c r="B219" s="39"/>
      <c r="D219" s="59"/>
      <c r="E219" s="68"/>
      <c r="F219" s="95"/>
      <c r="G219" s="21"/>
    </row>
    <row r="220" spans="2:7" s="32" customFormat="1" ht="15" customHeight="1" x14ac:dyDescent="0.25">
      <c r="B220" s="39"/>
      <c r="D220" s="59"/>
      <c r="E220" s="68"/>
      <c r="F220" s="95"/>
      <c r="G220" s="21"/>
    </row>
    <row r="221" spans="2:7" s="32" customFormat="1" ht="15" customHeight="1" x14ac:dyDescent="0.25">
      <c r="B221" s="39"/>
      <c r="D221" s="59"/>
      <c r="E221" s="68"/>
      <c r="F221" s="95"/>
      <c r="G221" s="21"/>
    </row>
    <row r="222" spans="2:7" s="32" customFormat="1" ht="15" customHeight="1" x14ac:dyDescent="0.25">
      <c r="B222" s="39"/>
      <c r="D222" s="59"/>
      <c r="E222" s="68"/>
      <c r="F222" s="95"/>
      <c r="G222" s="21"/>
    </row>
    <row r="223" spans="2:7" s="32" customFormat="1" ht="15" customHeight="1" x14ac:dyDescent="0.25">
      <c r="B223" s="39"/>
      <c r="D223" s="59"/>
      <c r="E223" s="68"/>
      <c r="F223" s="95"/>
      <c r="G223" s="21"/>
    </row>
    <row r="224" spans="2:7" s="32" customFormat="1" ht="15" customHeight="1" x14ac:dyDescent="0.25">
      <c r="B224" s="39"/>
      <c r="D224" s="59"/>
      <c r="E224" s="68"/>
      <c r="F224" s="95"/>
      <c r="G224" s="21"/>
    </row>
    <row r="225" spans="2:7" s="32" customFormat="1" ht="15" customHeight="1" x14ac:dyDescent="0.25">
      <c r="B225" s="39"/>
      <c r="D225" s="59"/>
      <c r="E225" s="68"/>
      <c r="F225" s="95"/>
      <c r="G225" s="21"/>
    </row>
    <row r="226" spans="2:7" s="32" customFormat="1" ht="15" customHeight="1" x14ac:dyDescent="0.25">
      <c r="B226" s="39"/>
      <c r="D226" s="59"/>
      <c r="E226" s="68"/>
      <c r="F226" s="95"/>
      <c r="G226" s="21"/>
    </row>
    <row r="227" spans="2:7" s="32" customFormat="1" ht="15" customHeight="1" x14ac:dyDescent="0.25">
      <c r="B227" s="39"/>
      <c r="D227" s="59"/>
      <c r="E227" s="68"/>
      <c r="F227" s="95"/>
      <c r="G227" s="21"/>
    </row>
    <row r="228" spans="2:7" s="32" customFormat="1" ht="15" customHeight="1" x14ac:dyDescent="0.25">
      <c r="B228" s="39"/>
      <c r="D228" s="59"/>
      <c r="E228" s="68"/>
      <c r="F228" s="95"/>
      <c r="G228" s="21"/>
    </row>
    <row r="229" spans="2:7" s="32" customFormat="1" ht="15" customHeight="1" x14ac:dyDescent="0.25">
      <c r="B229" s="39"/>
      <c r="D229" s="59"/>
      <c r="E229" s="68"/>
      <c r="F229" s="95"/>
      <c r="G229" s="21"/>
    </row>
    <row r="230" spans="2:7" s="32" customFormat="1" ht="15" customHeight="1" x14ac:dyDescent="0.25">
      <c r="B230" s="39"/>
      <c r="D230" s="59"/>
      <c r="E230" s="68"/>
      <c r="F230" s="95"/>
      <c r="G230" s="21"/>
    </row>
    <row r="231" spans="2:7" s="32" customFormat="1" ht="15" customHeight="1" x14ac:dyDescent="0.25">
      <c r="B231" s="39"/>
      <c r="D231" s="59"/>
      <c r="E231" s="68"/>
      <c r="F231" s="95"/>
      <c r="G231" s="21"/>
    </row>
    <row r="232" spans="2:7" s="32" customFormat="1" ht="15" customHeight="1" x14ac:dyDescent="0.25">
      <c r="B232" s="39"/>
      <c r="D232" s="59"/>
      <c r="E232" s="68"/>
      <c r="F232" s="95"/>
      <c r="G232" s="21"/>
    </row>
    <row r="233" spans="2:7" s="32" customFormat="1" ht="15" customHeight="1" x14ac:dyDescent="0.25">
      <c r="B233" s="39"/>
      <c r="D233" s="59"/>
      <c r="E233" s="68"/>
      <c r="F233" s="95"/>
      <c r="G233" s="21"/>
    </row>
    <row r="234" spans="2:7" s="32" customFormat="1" ht="15" customHeight="1" x14ac:dyDescent="0.25">
      <c r="B234" s="39"/>
      <c r="D234" s="59"/>
      <c r="E234" s="68"/>
      <c r="F234" s="95"/>
      <c r="G234" s="21"/>
    </row>
    <row r="235" spans="2:7" s="32" customFormat="1" ht="15" customHeight="1" x14ac:dyDescent="0.25">
      <c r="B235" s="39"/>
      <c r="D235" s="59"/>
      <c r="E235" s="68"/>
      <c r="F235" s="95"/>
      <c r="G235" s="21"/>
    </row>
    <row r="236" spans="2:7" s="32" customFormat="1" ht="15" customHeight="1" x14ac:dyDescent="0.25">
      <c r="B236" s="39"/>
      <c r="D236" s="59"/>
      <c r="E236" s="68"/>
      <c r="F236" s="95"/>
      <c r="G236" s="21"/>
    </row>
    <row r="237" spans="2:7" s="32" customFormat="1" ht="15" customHeight="1" x14ac:dyDescent="0.25">
      <c r="B237" s="39"/>
      <c r="D237" s="59"/>
      <c r="E237" s="68"/>
      <c r="F237" s="95"/>
      <c r="G237" s="21"/>
    </row>
    <row r="238" spans="2:7" s="32" customFormat="1" ht="15" customHeight="1" x14ac:dyDescent="0.25">
      <c r="B238" s="39"/>
      <c r="D238" s="59"/>
      <c r="E238" s="68"/>
      <c r="F238" s="95"/>
      <c r="G238" s="21"/>
    </row>
    <row r="239" spans="2:7" s="32" customFormat="1" ht="15" customHeight="1" x14ac:dyDescent="0.25">
      <c r="B239" s="39"/>
      <c r="D239" s="59"/>
      <c r="E239" s="68"/>
      <c r="F239" s="95"/>
      <c r="G239" s="21"/>
    </row>
    <row r="240" spans="2:7" s="32" customFormat="1" ht="15" customHeight="1" x14ac:dyDescent="0.25">
      <c r="B240" s="39"/>
      <c r="D240" s="59"/>
      <c r="E240" s="68"/>
      <c r="F240" s="95"/>
      <c r="G240" s="21"/>
    </row>
    <row r="241" spans="2:7" s="32" customFormat="1" ht="15" customHeight="1" x14ac:dyDescent="0.25">
      <c r="B241" s="39"/>
      <c r="D241" s="59"/>
      <c r="E241" s="68"/>
      <c r="F241" s="95"/>
      <c r="G241" s="21"/>
    </row>
    <row r="242" spans="2:7" s="32" customFormat="1" ht="15" customHeight="1" x14ac:dyDescent="0.25">
      <c r="B242" s="39"/>
      <c r="D242" s="59"/>
      <c r="E242" s="68"/>
      <c r="F242" s="95"/>
      <c r="G242" s="21"/>
    </row>
    <row r="243" spans="2:7" s="32" customFormat="1" ht="15" customHeight="1" x14ac:dyDescent="0.25">
      <c r="B243" s="39"/>
      <c r="D243" s="59"/>
      <c r="E243" s="68"/>
      <c r="F243" s="95"/>
      <c r="G243" s="21"/>
    </row>
    <row r="244" spans="2:7" s="32" customFormat="1" ht="15" customHeight="1" x14ac:dyDescent="0.25">
      <c r="B244" s="39"/>
      <c r="D244" s="59"/>
      <c r="E244" s="68"/>
      <c r="F244" s="95"/>
      <c r="G244" s="21"/>
    </row>
    <row r="245" spans="2:7" s="32" customFormat="1" ht="15" customHeight="1" x14ac:dyDescent="0.25">
      <c r="B245" s="39"/>
      <c r="D245" s="59"/>
      <c r="E245" s="68"/>
      <c r="F245" s="95"/>
      <c r="G245" s="21"/>
    </row>
    <row r="246" spans="2:7" s="32" customFormat="1" ht="15" customHeight="1" x14ac:dyDescent="0.25">
      <c r="B246" s="39"/>
      <c r="D246" s="59"/>
      <c r="E246" s="68"/>
      <c r="F246" s="95"/>
      <c r="G246" s="21"/>
    </row>
    <row r="247" spans="2:7" s="32" customFormat="1" x14ac:dyDescent="0.25">
      <c r="B247" s="39"/>
      <c r="D247" s="59"/>
      <c r="E247" s="68"/>
      <c r="F247" s="95"/>
      <c r="G247" s="21"/>
    </row>
    <row r="248" spans="2:7" s="32" customFormat="1" x14ac:dyDescent="0.25">
      <c r="B248" s="39"/>
      <c r="D248" s="59"/>
      <c r="E248" s="68"/>
      <c r="F248" s="95"/>
      <c r="G248" s="21"/>
    </row>
    <row r="249" spans="2:7" s="32" customFormat="1" x14ac:dyDescent="0.25">
      <c r="B249" s="39"/>
      <c r="D249" s="59"/>
      <c r="E249" s="68"/>
      <c r="F249" s="95"/>
      <c r="G249" s="21"/>
    </row>
    <row r="250" spans="2:7" s="32" customFormat="1" x14ac:dyDescent="0.25">
      <c r="B250" s="39"/>
      <c r="D250" s="59"/>
      <c r="E250" s="68"/>
      <c r="F250" s="95"/>
      <c r="G250" s="21"/>
    </row>
    <row r="251" spans="2:7" s="32" customFormat="1" x14ac:dyDescent="0.25">
      <c r="B251" s="39"/>
      <c r="D251" s="59"/>
      <c r="E251" s="68"/>
      <c r="F251" s="95"/>
      <c r="G251" s="21"/>
    </row>
    <row r="252" spans="2:7" s="32" customFormat="1" x14ac:dyDescent="0.25">
      <c r="B252" s="39"/>
      <c r="D252" s="59"/>
      <c r="E252" s="68"/>
      <c r="F252" s="95"/>
      <c r="G252" s="21"/>
    </row>
    <row r="253" spans="2:7" s="32" customFormat="1" x14ac:dyDescent="0.25">
      <c r="B253" s="39"/>
      <c r="D253" s="59"/>
      <c r="E253" s="68"/>
      <c r="F253" s="95"/>
      <c r="G253" s="21"/>
    </row>
    <row r="254" spans="2:7" s="32" customFormat="1" x14ac:dyDescent="0.25">
      <c r="B254" s="39"/>
      <c r="D254" s="59"/>
      <c r="E254" s="68"/>
      <c r="F254" s="95"/>
      <c r="G254" s="21"/>
    </row>
    <row r="255" spans="2:7" s="32" customFormat="1" x14ac:dyDescent="0.25">
      <c r="B255" s="39"/>
      <c r="D255" s="59"/>
      <c r="E255" s="68"/>
      <c r="F255" s="95"/>
      <c r="G255" s="21"/>
    </row>
    <row r="256" spans="2:7" s="32" customFormat="1" x14ac:dyDescent="0.25">
      <c r="B256" s="39"/>
      <c r="D256" s="59"/>
      <c r="E256" s="68"/>
      <c r="F256" s="95"/>
      <c r="G256" s="21"/>
    </row>
    <row r="257" spans="2:7" s="32" customFormat="1" x14ac:dyDescent="0.25">
      <c r="B257" s="39"/>
      <c r="D257" s="59"/>
      <c r="E257" s="68"/>
      <c r="F257" s="95"/>
      <c r="G257" s="21"/>
    </row>
    <row r="258" spans="2:7" s="32" customFormat="1" x14ac:dyDescent="0.25">
      <c r="B258" s="39"/>
      <c r="D258" s="59"/>
      <c r="E258" s="68"/>
      <c r="F258" s="95"/>
      <c r="G258" s="21"/>
    </row>
    <row r="259" spans="2:7" s="32" customFormat="1" x14ac:dyDescent="0.25">
      <c r="B259" s="39"/>
      <c r="D259" s="59"/>
      <c r="E259" s="68"/>
      <c r="F259" s="95"/>
      <c r="G259" s="21"/>
    </row>
    <row r="260" spans="2:7" s="32" customFormat="1" x14ac:dyDescent="0.25">
      <c r="B260" s="39"/>
      <c r="D260" s="59"/>
      <c r="E260" s="68"/>
      <c r="F260" s="95"/>
      <c r="G260" s="21"/>
    </row>
    <row r="261" spans="2:7" s="32" customFormat="1" x14ac:dyDescent="0.25">
      <c r="B261" s="39"/>
      <c r="D261" s="59"/>
      <c r="E261" s="68"/>
      <c r="F261" s="95"/>
      <c r="G261" s="21"/>
    </row>
    <row r="262" spans="2:7" s="32" customFormat="1" x14ac:dyDescent="0.25">
      <c r="B262" s="39"/>
      <c r="D262" s="59"/>
      <c r="E262" s="68"/>
      <c r="F262" s="95"/>
      <c r="G262" s="21"/>
    </row>
    <row r="263" spans="2:7" s="32" customFormat="1" x14ac:dyDescent="0.25">
      <c r="B263" s="39"/>
      <c r="D263" s="59"/>
      <c r="E263" s="68"/>
      <c r="F263" s="95"/>
      <c r="G263" s="21"/>
    </row>
    <row r="264" spans="2:7" s="32" customFormat="1" x14ac:dyDescent="0.25">
      <c r="B264" s="39"/>
      <c r="D264" s="59"/>
      <c r="E264" s="68"/>
      <c r="F264" s="95"/>
      <c r="G264" s="21"/>
    </row>
    <row r="265" spans="2:7" s="32" customFormat="1" x14ac:dyDescent="0.25">
      <c r="B265" s="39"/>
      <c r="D265" s="59"/>
      <c r="E265" s="68"/>
      <c r="F265" s="95"/>
      <c r="G265" s="21"/>
    </row>
    <row r="266" spans="2:7" s="32" customFormat="1" x14ac:dyDescent="0.25">
      <c r="B266" s="39"/>
      <c r="D266" s="59"/>
      <c r="E266" s="68"/>
      <c r="F266" s="95"/>
      <c r="G266" s="21"/>
    </row>
    <row r="267" spans="2:7" s="32" customFormat="1" x14ac:dyDescent="0.25">
      <c r="B267" s="39"/>
      <c r="D267" s="59"/>
      <c r="E267" s="68"/>
      <c r="F267" s="95"/>
      <c r="G267" s="21"/>
    </row>
    <row r="268" spans="2:7" s="32" customFormat="1" x14ac:dyDescent="0.25">
      <c r="B268" s="39"/>
      <c r="D268" s="59"/>
      <c r="E268" s="68"/>
      <c r="F268" s="95"/>
      <c r="G268" s="21"/>
    </row>
    <row r="269" spans="2:7" s="32" customFormat="1" x14ac:dyDescent="0.25">
      <c r="B269" s="39"/>
      <c r="D269" s="59"/>
      <c r="E269" s="68"/>
      <c r="F269" s="95"/>
      <c r="G269" s="21"/>
    </row>
    <row r="270" spans="2:7" s="32" customFormat="1" x14ac:dyDescent="0.25">
      <c r="B270" s="39"/>
      <c r="D270" s="59"/>
      <c r="E270" s="68"/>
      <c r="F270" s="95"/>
      <c r="G270" s="21"/>
    </row>
    <row r="271" spans="2:7" s="32" customFormat="1" x14ac:dyDescent="0.25">
      <c r="B271" s="39"/>
      <c r="D271" s="59"/>
      <c r="E271" s="68"/>
      <c r="F271" s="95"/>
      <c r="G271" s="21"/>
    </row>
    <row r="272" spans="2:7" s="32" customFormat="1" x14ac:dyDescent="0.25">
      <c r="B272" s="39"/>
      <c r="D272" s="59"/>
      <c r="E272" s="68"/>
      <c r="F272" s="95"/>
      <c r="G272" s="21"/>
    </row>
    <row r="273" spans="2:7" s="32" customFormat="1" x14ac:dyDescent="0.25">
      <c r="B273" s="39"/>
      <c r="D273" s="59"/>
      <c r="E273" s="68"/>
      <c r="F273" s="95"/>
      <c r="G273" s="21"/>
    </row>
    <row r="274" spans="2:7" s="32" customFormat="1" x14ac:dyDescent="0.25">
      <c r="B274" s="39"/>
      <c r="D274" s="59"/>
      <c r="E274" s="68"/>
      <c r="F274" s="95"/>
      <c r="G274" s="21"/>
    </row>
    <row r="275" spans="2:7" s="32" customFormat="1" x14ac:dyDescent="0.25">
      <c r="B275" s="39"/>
      <c r="D275" s="59"/>
      <c r="E275" s="68"/>
      <c r="F275" s="95"/>
      <c r="G275" s="21"/>
    </row>
    <row r="276" spans="2:7" s="32" customFormat="1" x14ac:dyDescent="0.25">
      <c r="B276" s="39"/>
      <c r="D276" s="59"/>
      <c r="E276" s="68"/>
      <c r="F276" s="95"/>
      <c r="G276" s="21"/>
    </row>
    <row r="277" spans="2:7" s="32" customFormat="1" x14ac:dyDescent="0.25">
      <c r="B277" s="39"/>
      <c r="D277" s="59"/>
      <c r="E277" s="68"/>
      <c r="F277" s="95"/>
      <c r="G277" s="21"/>
    </row>
    <row r="278" spans="2:7" s="32" customFormat="1" x14ac:dyDescent="0.25">
      <c r="B278" s="39"/>
      <c r="D278" s="59"/>
      <c r="E278" s="68"/>
      <c r="F278" s="95"/>
      <c r="G278" s="21"/>
    </row>
    <row r="279" spans="2:7" s="32" customFormat="1" x14ac:dyDescent="0.25">
      <c r="B279" s="39"/>
      <c r="D279" s="59"/>
      <c r="E279" s="68"/>
      <c r="F279" s="95"/>
      <c r="G279" s="21"/>
    </row>
    <row r="280" spans="2:7" s="32" customFormat="1" x14ac:dyDescent="0.25">
      <c r="B280" s="39"/>
      <c r="D280" s="59"/>
      <c r="E280" s="68"/>
      <c r="F280" s="95"/>
      <c r="G280" s="21"/>
    </row>
    <row r="281" spans="2:7" s="32" customFormat="1" x14ac:dyDescent="0.25">
      <c r="B281" s="39"/>
      <c r="D281" s="59"/>
      <c r="E281" s="68"/>
      <c r="F281" s="95"/>
      <c r="G281" s="21"/>
    </row>
    <row r="282" spans="2:7" s="32" customFormat="1" x14ac:dyDescent="0.25">
      <c r="B282" s="39"/>
      <c r="D282" s="59"/>
      <c r="E282" s="68"/>
      <c r="F282" s="95"/>
      <c r="G282" s="21"/>
    </row>
    <row r="283" spans="2:7" s="32" customFormat="1" x14ac:dyDescent="0.25">
      <c r="B283" s="39"/>
      <c r="D283" s="59"/>
      <c r="E283" s="68"/>
      <c r="F283" s="95"/>
      <c r="G283" s="21"/>
    </row>
    <row r="284" spans="2:7" s="32" customFormat="1" x14ac:dyDescent="0.25">
      <c r="B284" s="39"/>
      <c r="D284" s="59"/>
      <c r="E284" s="68"/>
      <c r="F284" s="95"/>
      <c r="G284" s="21"/>
    </row>
    <row r="285" spans="2:7" s="32" customFormat="1" x14ac:dyDescent="0.25">
      <c r="B285" s="39"/>
      <c r="D285" s="59"/>
      <c r="E285" s="68"/>
      <c r="F285" s="95"/>
      <c r="G285" s="21"/>
    </row>
    <row r="286" spans="2:7" s="32" customFormat="1" x14ac:dyDescent="0.25">
      <c r="B286" s="39"/>
      <c r="D286" s="59"/>
      <c r="E286" s="68"/>
      <c r="F286" s="95"/>
      <c r="G286" s="21"/>
    </row>
    <row r="287" spans="2:7" s="32" customFormat="1" x14ac:dyDescent="0.25">
      <c r="B287" s="39"/>
      <c r="D287" s="59"/>
      <c r="E287" s="68"/>
      <c r="F287" s="95"/>
      <c r="G287" s="21"/>
    </row>
    <row r="288" spans="2:7" s="32" customFormat="1" x14ac:dyDescent="0.25">
      <c r="B288" s="39"/>
      <c r="D288" s="59"/>
      <c r="E288" s="68"/>
      <c r="F288" s="95"/>
      <c r="G288" s="21"/>
    </row>
    <row r="289" spans="2:7" s="32" customFormat="1" x14ac:dyDescent="0.25">
      <c r="B289" s="39"/>
      <c r="D289" s="59"/>
      <c r="E289" s="68"/>
      <c r="F289" s="95"/>
      <c r="G289" s="21"/>
    </row>
    <row r="290" spans="2:7" s="32" customFormat="1" x14ac:dyDescent="0.25">
      <c r="B290" s="39"/>
      <c r="D290" s="59"/>
      <c r="E290" s="68"/>
      <c r="F290" s="95"/>
      <c r="G290" s="21"/>
    </row>
    <row r="291" spans="2:7" s="32" customFormat="1" x14ac:dyDescent="0.25">
      <c r="B291" s="39"/>
      <c r="D291" s="59"/>
      <c r="E291" s="68"/>
      <c r="F291" s="95"/>
      <c r="G291" s="21"/>
    </row>
    <row r="292" spans="2:7" s="32" customFormat="1" x14ac:dyDescent="0.25">
      <c r="B292" s="39"/>
      <c r="D292" s="59"/>
      <c r="E292" s="68"/>
      <c r="F292" s="95"/>
      <c r="G292" s="21"/>
    </row>
    <row r="293" spans="2:7" s="32" customFormat="1" x14ac:dyDescent="0.25">
      <c r="B293" s="39"/>
      <c r="D293" s="59"/>
      <c r="E293" s="68"/>
      <c r="F293" s="95"/>
      <c r="G293" s="21"/>
    </row>
    <row r="294" spans="2:7" s="32" customFormat="1" x14ac:dyDescent="0.25">
      <c r="B294" s="39"/>
      <c r="D294" s="59"/>
      <c r="E294" s="68"/>
      <c r="F294" s="95"/>
      <c r="G294" s="21"/>
    </row>
    <row r="295" spans="2:7" s="32" customFormat="1" x14ac:dyDescent="0.25">
      <c r="B295" s="39"/>
      <c r="D295" s="59"/>
      <c r="E295" s="68"/>
      <c r="F295" s="95"/>
      <c r="G295" s="21"/>
    </row>
    <row r="296" spans="2:7" s="32" customFormat="1" x14ac:dyDescent="0.25">
      <c r="B296" s="39"/>
      <c r="D296" s="59"/>
      <c r="E296" s="68"/>
      <c r="F296" s="95"/>
      <c r="G296" s="21"/>
    </row>
    <row r="297" spans="2:7" s="32" customFormat="1" x14ac:dyDescent="0.25">
      <c r="B297" s="39"/>
      <c r="D297" s="59"/>
      <c r="E297" s="68"/>
      <c r="F297" s="95"/>
      <c r="G297" s="21"/>
    </row>
    <row r="298" spans="2:7" s="32" customFormat="1" x14ac:dyDescent="0.25">
      <c r="B298" s="39"/>
      <c r="D298" s="59"/>
      <c r="E298" s="68"/>
      <c r="F298" s="95"/>
      <c r="G298" s="21"/>
    </row>
    <row r="299" spans="2:7" s="32" customFormat="1" x14ac:dyDescent="0.25">
      <c r="B299" s="39"/>
      <c r="D299" s="59"/>
      <c r="E299" s="68"/>
      <c r="F299" s="95"/>
      <c r="G299" s="21"/>
    </row>
    <row r="300" spans="2:7" s="32" customFormat="1" x14ac:dyDescent="0.25">
      <c r="B300" s="39"/>
      <c r="D300" s="59"/>
      <c r="E300" s="68"/>
      <c r="F300" s="95"/>
      <c r="G300" s="21"/>
    </row>
    <row r="301" spans="2:7" s="32" customFormat="1" x14ac:dyDescent="0.25">
      <c r="B301" s="39"/>
      <c r="D301" s="59"/>
      <c r="E301" s="68"/>
      <c r="F301" s="95"/>
      <c r="G301" s="21"/>
    </row>
    <row r="302" spans="2:7" s="32" customFormat="1" x14ac:dyDescent="0.25">
      <c r="B302" s="39"/>
      <c r="D302" s="59"/>
      <c r="E302" s="68"/>
      <c r="F302" s="95"/>
      <c r="G302" s="21"/>
    </row>
    <row r="303" spans="2:7" s="32" customFormat="1" x14ac:dyDescent="0.25">
      <c r="B303" s="39"/>
      <c r="D303" s="59"/>
      <c r="E303" s="68"/>
      <c r="F303" s="95"/>
      <c r="G303" s="21"/>
    </row>
    <row r="304" spans="2:7" s="32" customFormat="1" x14ac:dyDescent="0.25">
      <c r="B304" s="39"/>
      <c r="D304" s="59"/>
      <c r="E304" s="68"/>
      <c r="F304" s="95"/>
      <c r="G304" s="21"/>
    </row>
    <row r="305" spans="2:7" s="32" customFormat="1" x14ac:dyDescent="0.25">
      <c r="B305" s="39"/>
      <c r="D305" s="59"/>
      <c r="E305" s="68"/>
      <c r="F305" s="95"/>
      <c r="G305" s="21"/>
    </row>
    <row r="306" spans="2:7" s="32" customFormat="1" x14ac:dyDescent="0.25">
      <c r="B306" s="39"/>
      <c r="D306" s="59"/>
      <c r="E306" s="68"/>
      <c r="F306" s="95"/>
      <c r="G306" s="21"/>
    </row>
    <row r="307" spans="2:7" s="32" customFormat="1" x14ac:dyDescent="0.25">
      <c r="B307" s="39"/>
      <c r="D307" s="59"/>
      <c r="E307" s="68"/>
      <c r="F307" s="95"/>
      <c r="G307" s="21"/>
    </row>
    <row r="308" spans="2:7" s="32" customFormat="1" x14ac:dyDescent="0.25">
      <c r="B308" s="39"/>
      <c r="D308" s="59"/>
      <c r="E308" s="68"/>
      <c r="F308" s="95"/>
      <c r="G308" s="21"/>
    </row>
    <row r="309" spans="2:7" s="32" customFormat="1" x14ac:dyDescent="0.25">
      <c r="B309" s="39"/>
      <c r="D309" s="59"/>
      <c r="E309" s="68"/>
      <c r="F309" s="95"/>
      <c r="G309" s="21"/>
    </row>
    <row r="310" spans="2:7" s="32" customFormat="1" x14ac:dyDescent="0.25">
      <c r="B310" s="39"/>
      <c r="D310" s="59"/>
      <c r="E310" s="68"/>
      <c r="F310" s="95"/>
      <c r="G310" s="21"/>
    </row>
    <row r="311" spans="2:7" s="32" customFormat="1" x14ac:dyDescent="0.25">
      <c r="B311" s="39"/>
      <c r="D311" s="59"/>
      <c r="E311" s="68"/>
      <c r="F311" s="95"/>
      <c r="G311" s="21"/>
    </row>
    <row r="312" spans="2:7" s="32" customFormat="1" x14ac:dyDescent="0.25">
      <c r="B312" s="39"/>
      <c r="D312" s="59"/>
      <c r="E312" s="68"/>
      <c r="F312" s="95"/>
      <c r="G312" s="21"/>
    </row>
    <row r="313" spans="2:7" s="32" customFormat="1" x14ac:dyDescent="0.25">
      <c r="B313" s="39"/>
      <c r="D313" s="59"/>
      <c r="E313" s="68"/>
      <c r="F313" s="95"/>
      <c r="G313" s="21"/>
    </row>
    <row r="314" spans="2:7" s="32" customFormat="1" x14ac:dyDescent="0.25">
      <c r="B314" s="39"/>
      <c r="D314" s="59"/>
      <c r="E314" s="68"/>
      <c r="F314" s="95"/>
      <c r="G314" s="21"/>
    </row>
    <row r="315" spans="2:7" s="32" customFormat="1" x14ac:dyDescent="0.25">
      <c r="B315" s="39"/>
      <c r="D315" s="59"/>
      <c r="E315" s="68"/>
      <c r="F315" s="95"/>
      <c r="G315" s="21"/>
    </row>
    <row r="316" spans="2:7" s="32" customFormat="1" x14ac:dyDescent="0.25">
      <c r="B316" s="39"/>
      <c r="D316" s="59"/>
      <c r="E316" s="68"/>
      <c r="F316" s="95"/>
      <c r="G316" s="21"/>
    </row>
    <row r="317" spans="2:7" s="32" customFormat="1" x14ac:dyDescent="0.25">
      <c r="B317" s="39"/>
      <c r="D317" s="59"/>
      <c r="E317" s="68"/>
      <c r="F317" s="95"/>
      <c r="G317" s="21"/>
    </row>
    <row r="318" spans="2:7" s="32" customFormat="1" x14ac:dyDescent="0.25">
      <c r="B318" s="39"/>
      <c r="D318" s="59"/>
      <c r="E318" s="68"/>
      <c r="F318" s="95"/>
      <c r="G318" s="21"/>
    </row>
    <row r="319" spans="2:7" s="32" customFormat="1" x14ac:dyDescent="0.25">
      <c r="B319" s="39"/>
      <c r="D319" s="59"/>
      <c r="E319" s="68"/>
      <c r="F319" s="95"/>
      <c r="G319" s="21"/>
    </row>
    <row r="320" spans="2:7" s="32" customFormat="1" x14ac:dyDescent="0.25">
      <c r="B320" s="39"/>
      <c r="D320" s="59"/>
      <c r="E320" s="68"/>
      <c r="F320" s="95"/>
      <c r="G320" s="21"/>
    </row>
    <row r="321" spans="2:7" s="32" customFormat="1" x14ac:dyDescent="0.25">
      <c r="B321" s="39"/>
      <c r="D321" s="59"/>
      <c r="E321" s="68"/>
      <c r="F321" s="95"/>
      <c r="G321" s="21"/>
    </row>
    <row r="322" spans="2:7" s="32" customFormat="1" x14ac:dyDescent="0.25">
      <c r="B322" s="39"/>
      <c r="D322" s="59"/>
      <c r="E322" s="68"/>
      <c r="F322" s="95"/>
      <c r="G322" s="21"/>
    </row>
    <row r="323" spans="2:7" s="32" customFormat="1" x14ac:dyDescent="0.25">
      <c r="B323" s="39"/>
      <c r="D323" s="59"/>
      <c r="E323" s="68"/>
      <c r="F323" s="95"/>
      <c r="G323" s="21"/>
    </row>
    <row r="324" spans="2:7" s="32" customFormat="1" x14ac:dyDescent="0.25">
      <c r="B324" s="39"/>
      <c r="D324" s="59"/>
      <c r="E324" s="68"/>
      <c r="F324" s="95"/>
      <c r="G324" s="21"/>
    </row>
    <row r="325" spans="2:7" s="32" customFormat="1" x14ac:dyDescent="0.25">
      <c r="B325" s="39"/>
      <c r="D325" s="59"/>
      <c r="E325" s="68"/>
      <c r="F325" s="95"/>
      <c r="G325" s="21"/>
    </row>
    <row r="326" spans="2:7" s="32" customFormat="1" x14ac:dyDescent="0.25">
      <c r="B326" s="39"/>
      <c r="D326" s="59"/>
      <c r="E326" s="68"/>
      <c r="F326" s="95"/>
      <c r="G326" s="21"/>
    </row>
    <row r="327" spans="2:7" s="32" customFormat="1" x14ac:dyDescent="0.25">
      <c r="B327" s="39"/>
      <c r="D327" s="59"/>
      <c r="E327" s="68"/>
      <c r="F327" s="95"/>
      <c r="G327" s="21"/>
    </row>
    <row r="328" spans="2:7" s="32" customFormat="1" x14ac:dyDescent="0.25">
      <c r="B328" s="39"/>
      <c r="D328" s="59"/>
      <c r="E328" s="68"/>
      <c r="F328" s="95"/>
      <c r="G328" s="21"/>
    </row>
    <row r="329" spans="2:7" s="32" customFormat="1" x14ac:dyDescent="0.25">
      <c r="B329" s="39"/>
      <c r="D329" s="59"/>
      <c r="E329" s="68"/>
      <c r="F329" s="95"/>
      <c r="G329" s="21"/>
    </row>
    <row r="330" spans="2:7" s="32" customFormat="1" x14ac:dyDescent="0.25">
      <c r="B330" s="39"/>
      <c r="D330" s="59"/>
      <c r="E330" s="68"/>
      <c r="F330" s="95"/>
      <c r="G330" s="21"/>
    </row>
    <row r="331" spans="2:7" s="32" customFormat="1" x14ac:dyDescent="0.25">
      <c r="B331" s="39"/>
      <c r="D331" s="59"/>
      <c r="E331" s="68"/>
      <c r="F331" s="95"/>
      <c r="G331" s="21"/>
    </row>
    <row r="332" spans="2:7" s="32" customFormat="1" x14ac:dyDescent="0.25">
      <c r="B332" s="39"/>
      <c r="D332" s="59"/>
      <c r="E332" s="68"/>
      <c r="F332" s="95"/>
      <c r="G332" s="21"/>
    </row>
    <row r="333" spans="2:7" s="32" customFormat="1" x14ac:dyDescent="0.25">
      <c r="B333" s="39"/>
      <c r="D333" s="59"/>
      <c r="E333" s="68"/>
      <c r="F333" s="95"/>
      <c r="G333" s="21"/>
    </row>
    <row r="334" spans="2:7" s="32" customFormat="1" x14ac:dyDescent="0.25">
      <c r="B334" s="39"/>
      <c r="D334" s="59"/>
      <c r="E334" s="68"/>
      <c r="F334" s="95"/>
      <c r="G334" s="21"/>
    </row>
    <row r="335" spans="2:7" s="32" customFormat="1" x14ac:dyDescent="0.25">
      <c r="B335" s="39"/>
      <c r="D335" s="59"/>
      <c r="E335" s="68"/>
      <c r="F335" s="95"/>
      <c r="G335" s="21"/>
    </row>
    <row r="336" spans="2:7" s="32" customFormat="1" x14ac:dyDescent="0.25">
      <c r="B336" s="39"/>
      <c r="D336" s="59"/>
      <c r="E336" s="68"/>
      <c r="F336" s="95"/>
      <c r="G336" s="21"/>
    </row>
    <row r="337" spans="2:7" s="32" customFormat="1" x14ac:dyDescent="0.25">
      <c r="B337" s="39"/>
      <c r="D337" s="59"/>
      <c r="E337" s="68"/>
      <c r="F337" s="95"/>
      <c r="G337" s="21"/>
    </row>
    <row r="338" spans="2:7" s="32" customFormat="1" x14ac:dyDescent="0.25">
      <c r="B338" s="39"/>
      <c r="D338" s="59"/>
      <c r="E338" s="68"/>
      <c r="F338" s="95"/>
      <c r="G338" s="21"/>
    </row>
    <row r="339" spans="2:7" s="32" customFormat="1" x14ac:dyDescent="0.25">
      <c r="B339" s="39"/>
      <c r="D339" s="59"/>
      <c r="E339" s="68"/>
      <c r="F339" s="95"/>
      <c r="G339" s="21"/>
    </row>
    <row r="340" spans="2:7" s="32" customFormat="1" x14ac:dyDescent="0.25">
      <c r="B340" s="39"/>
      <c r="D340" s="59"/>
      <c r="E340" s="68"/>
      <c r="F340" s="95"/>
      <c r="G340" s="21"/>
    </row>
    <row r="341" spans="2:7" s="32" customFormat="1" x14ac:dyDescent="0.25">
      <c r="B341" s="39"/>
      <c r="D341" s="59"/>
      <c r="E341" s="68"/>
      <c r="F341" s="95"/>
      <c r="G341" s="21"/>
    </row>
    <row r="342" spans="2:7" s="32" customFormat="1" x14ac:dyDescent="0.25">
      <c r="B342" s="39"/>
      <c r="D342" s="59"/>
      <c r="E342" s="68"/>
      <c r="F342" s="95"/>
      <c r="G342" s="21"/>
    </row>
    <row r="343" spans="2:7" s="32" customFormat="1" x14ac:dyDescent="0.25">
      <c r="B343" s="39"/>
      <c r="D343" s="59"/>
      <c r="E343" s="68"/>
      <c r="F343" s="95"/>
      <c r="G343" s="21"/>
    </row>
    <row r="344" spans="2:7" s="32" customFormat="1" x14ac:dyDescent="0.25">
      <c r="B344" s="39"/>
      <c r="D344" s="59"/>
      <c r="E344" s="68"/>
      <c r="F344" s="95"/>
      <c r="G344" s="21"/>
    </row>
    <row r="345" spans="2:7" s="32" customFormat="1" x14ac:dyDescent="0.25">
      <c r="B345" s="39"/>
      <c r="D345" s="59"/>
      <c r="E345" s="68"/>
      <c r="F345" s="95"/>
      <c r="G345" s="21"/>
    </row>
    <row r="346" spans="2:7" s="32" customFormat="1" x14ac:dyDescent="0.25">
      <c r="B346" s="39"/>
      <c r="D346" s="59"/>
      <c r="E346" s="68"/>
      <c r="F346" s="95"/>
      <c r="G346" s="21"/>
    </row>
    <row r="347" spans="2:7" s="32" customFormat="1" x14ac:dyDescent="0.25">
      <c r="B347" s="39"/>
      <c r="D347" s="59"/>
      <c r="E347" s="68"/>
      <c r="F347" s="95"/>
      <c r="G347" s="21"/>
    </row>
    <row r="348" spans="2:7" s="32" customFormat="1" x14ac:dyDescent="0.25">
      <c r="B348" s="39"/>
      <c r="D348" s="59"/>
      <c r="E348" s="68"/>
      <c r="F348" s="95"/>
      <c r="G348" s="21"/>
    </row>
    <row r="349" spans="2:7" s="32" customFormat="1" x14ac:dyDescent="0.25">
      <c r="B349" s="39"/>
      <c r="D349" s="59"/>
      <c r="E349" s="68"/>
      <c r="F349" s="95"/>
      <c r="G349" s="21"/>
    </row>
    <row r="350" spans="2:7" s="32" customFormat="1" x14ac:dyDescent="0.25">
      <c r="B350" s="39"/>
      <c r="D350" s="59"/>
      <c r="E350" s="68"/>
      <c r="F350" s="95"/>
      <c r="G350" s="21"/>
    </row>
    <row r="351" spans="2:7" s="32" customFormat="1" x14ac:dyDescent="0.25">
      <c r="B351" s="39"/>
      <c r="D351" s="59"/>
      <c r="E351" s="68"/>
      <c r="F351" s="95"/>
      <c r="G351" s="21"/>
    </row>
    <row r="352" spans="2:7" s="32" customFormat="1" x14ac:dyDescent="0.25">
      <c r="B352" s="39"/>
      <c r="D352" s="59"/>
      <c r="E352" s="68"/>
      <c r="F352" s="95"/>
      <c r="G352" s="21"/>
    </row>
    <row r="353" spans="2:7" s="32" customFormat="1" x14ac:dyDescent="0.25">
      <c r="B353" s="39"/>
      <c r="D353" s="59"/>
      <c r="E353" s="68"/>
      <c r="F353" s="95"/>
      <c r="G353" s="21"/>
    </row>
    <row r="354" spans="2:7" s="32" customFormat="1" x14ac:dyDescent="0.25">
      <c r="B354" s="39"/>
      <c r="D354" s="59"/>
      <c r="E354" s="68"/>
      <c r="F354" s="95"/>
      <c r="G354" s="21"/>
    </row>
    <row r="355" spans="2:7" s="32" customFormat="1" x14ac:dyDescent="0.25">
      <c r="B355" s="39"/>
      <c r="D355" s="59"/>
      <c r="E355" s="68"/>
      <c r="F355" s="95"/>
      <c r="G355" s="21"/>
    </row>
    <row r="356" spans="2:7" s="32" customFormat="1" x14ac:dyDescent="0.25">
      <c r="B356" s="39"/>
      <c r="D356" s="59"/>
      <c r="E356" s="68"/>
      <c r="F356" s="95"/>
      <c r="G356" s="21"/>
    </row>
    <row r="357" spans="2:7" s="32" customFormat="1" x14ac:dyDescent="0.25">
      <c r="B357" s="39"/>
      <c r="D357" s="59"/>
      <c r="E357" s="68"/>
      <c r="F357" s="95"/>
      <c r="G357" s="21"/>
    </row>
    <row r="358" spans="2:7" s="32" customFormat="1" x14ac:dyDescent="0.25">
      <c r="B358" s="39"/>
      <c r="D358" s="59"/>
      <c r="E358" s="68"/>
      <c r="F358" s="95"/>
      <c r="G358" s="21"/>
    </row>
    <row r="359" spans="2:7" s="32" customFormat="1" x14ac:dyDescent="0.25">
      <c r="B359" s="39"/>
      <c r="D359" s="59"/>
      <c r="E359" s="68"/>
      <c r="F359" s="95"/>
      <c r="G359" s="21"/>
    </row>
    <row r="360" spans="2:7" s="32" customFormat="1" x14ac:dyDescent="0.25">
      <c r="B360" s="39"/>
      <c r="D360" s="59"/>
      <c r="E360" s="68"/>
      <c r="F360" s="95"/>
      <c r="G360" s="21"/>
    </row>
    <row r="361" spans="2:7" s="32" customFormat="1" x14ac:dyDescent="0.25">
      <c r="B361" s="39"/>
      <c r="D361" s="59"/>
      <c r="E361" s="68"/>
      <c r="F361" s="95"/>
      <c r="G361" s="21"/>
    </row>
    <row r="362" spans="2:7" s="32" customFormat="1" x14ac:dyDescent="0.25">
      <c r="B362" s="39"/>
      <c r="D362" s="59"/>
      <c r="E362" s="68"/>
      <c r="F362" s="95"/>
      <c r="G362" s="21"/>
    </row>
    <row r="363" spans="2:7" s="32" customFormat="1" x14ac:dyDescent="0.25">
      <c r="B363" s="39"/>
      <c r="D363" s="59"/>
      <c r="E363" s="68"/>
      <c r="F363" s="95"/>
      <c r="G363" s="21"/>
    </row>
    <row r="364" spans="2:7" s="32" customFormat="1" x14ac:dyDescent="0.25">
      <c r="B364" s="39"/>
      <c r="D364" s="59"/>
      <c r="E364" s="68"/>
      <c r="F364" s="95"/>
      <c r="G364" s="21"/>
    </row>
    <row r="365" spans="2:7" s="32" customFormat="1" x14ac:dyDescent="0.25">
      <c r="B365" s="39"/>
      <c r="D365" s="59"/>
      <c r="E365" s="68"/>
      <c r="F365" s="95"/>
      <c r="G365" s="21"/>
    </row>
    <row r="366" spans="2:7" s="32" customFormat="1" x14ac:dyDescent="0.25">
      <c r="B366" s="39"/>
      <c r="D366" s="59"/>
      <c r="E366" s="68"/>
      <c r="F366" s="95"/>
      <c r="G366" s="21"/>
    </row>
    <row r="367" spans="2:7" s="32" customFormat="1" x14ac:dyDescent="0.25">
      <c r="B367" s="39"/>
      <c r="D367" s="59"/>
      <c r="E367" s="68"/>
      <c r="F367" s="95"/>
      <c r="G367" s="21"/>
    </row>
    <row r="368" spans="2:7" s="32" customFormat="1" x14ac:dyDescent="0.25">
      <c r="B368" s="39"/>
      <c r="D368" s="59"/>
      <c r="E368" s="68"/>
      <c r="F368" s="95"/>
      <c r="G368" s="21"/>
    </row>
    <row r="369" spans="2:7" s="32" customFormat="1" x14ac:dyDescent="0.25">
      <c r="B369" s="39"/>
      <c r="D369" s="59"/>
      <c r="E369" s="68"/>
      <c r="F369" s="95"/>
      <c r="G369" s="21"/>
    </row>
    <row r="370" spans="2:7" s="32" customFormat="1" x14ac:dyDescent="0.25">
      <c r="B370" s="39"/>
      <c r="D370" s="59"/>
      <c r="E370" s="68"/>
      <c r="F370" s="95"/>
      <c r="G370" s="21"/>
    </row>
    <row r="371" spans="2:7" s="32" customFormat="1" x14ac:dyDescent="0.25">
      <c r="B371" s="39"/>
      <c r="D371" s="59"/>
      <c r="E371" s="68"/>
      <c r="F371" s="95"/>
      <c r="G371" s="21"/>
    </row>
    <row r="372" spans="2:7" s="32" customFormat="1" x14ac:dyDescent="0.25">
      <c r="B372" s="39"/>
      <c r="D372" s="59"/>
      <c r="E372" s="68"/>
      <c r="F372" s="95"/>
      <c r="G372" s="21"/>
    </row>
    <row r="373" spans="2:7" s="32" customFormat="1" x14ac:dyDescent="0.25">
      <c r="B373" s="39"/>
      <c r="D373" s="59"/>
      <c r="E373" s="68"/>
      <c r="F373" s="95"/>
      <c r="G373" s="21"/>
    </row>
    <row r="374" spans="2:7" s="32" customFormat="1" x14ac:dyDescent="0.25">
      <c r="B374" s="39"/>
      <c r="D374" s="59"/>
      <c r="E374" s="68"/>
      <c r="F374" s="95"/>
      <c r="G374" s="21"/>
    </row>
    <row r="375" spans="2:7" s="32" customFormat="1" x14ac:dyDescent="0.25">
      <c r="B375" s="39"/>
      <c r="D375" s="59"/>
      <c r="E375" s="68"/>
      <c r="F375" s="95"/>
      <c r="G375" s="21"/>
    </row>
    <row r="376" spans="2:7" s="32" customFormat="1" x14ac:dyDescent="0.25">
      <c r="B376" s="39"/>
      <c r="D376" s="59"/>
      <c r="E376" s="68"/>
      <c r="F376" s="95"/>
      <c r="G376" s="21"/>
    </row>
    <row r="377" spans="2:7" s="32" customFormat="1" x14ac:dyDescent="0.25">
      <c r="B377" s="39"/>
      <c r="D377" s="59"/>
      <c r="E377" s="68"/>
      <c r="F377" s="95"/>
      <c r="G377" s="21"/>
    </row>
    <row r="378" spans="2:7" s="32" customFormat="1" x14ac:dyDescent="0.25">
      <c r="B378" s="39"/>
      <c r="D378" s="59"/>
      <c r="E378" s="68"/>
      <c r="F378" s="95"/>
      <c r="G378" s="21"/>
    </row>
    <row r="379" spans="2:7" s="32" customFormat="1" x14ac:dyDescent="0.25">
      <c r="B379" s="39"/>
      <c r="D379" s="59"/>
      <c r="E379" s="68"/>
      <c r="F379" s="95"/>
      <c r="G379" s="21"/>
    </row>
    <row r="380" spans="2:7" s="32" customFormat="1" x14ac:dyDescent="0.25">
      <c r="B380" s="39"/>
      <c r="D380" s="59"/>
      <c r="E380" s="68"/>
      <c r="F380" s="95"/>
      <c r="G380" s="21"/>
    </row>
    <row r="381" spans="2:7" s="32" customFormat="1" x14ac:dyDescent="0.25">
      <c r="B381" s="39"/>
      <c r="D381" s="59"/>
      <c r="E381" s="68"/>
      <c r="F381" s="95"/>
      <c r="G381" s="21"/>
    </row>
    <row r="382" spans="2:7" s="32" customFormat="1" x14ac:dyDescent="0.25">
      <c r="B382" s="39"/>
      <c r="D382" s="59"/>
      <c r="E382" s="68"/>
      <c r="F382" s="95"/>
      <c r="G382" s="21"/>
    </row>
    <row r="383" spans="2:7" s="32" customFormat="1" x14ac:dyDescent="0.25">
      <c r="B383" s="39"/>
      <c r="D383" s="59"/>
      <c r="E383" s="68"/>
      <c r="F383" s="95"/>
      <c r="G383" s="21"/>
    </row>
    <row r="384" spans="2:7" s="32" customFormat="1" x14ac:dyDescent="0.25">
      <c r="B384" s="39"/>
      <c r="D384" s="59"/>
      <c r="E384" s="68"/>
      <c r="F384" s="95"/>
      <c r="G384" s="21"/>
    </row>
    <row r="385" spans="2:7" s="32" customFormat="1" x14ac:dyDescent="0.25">
      <c r="B385" s="39"/>
      <c r="D385" s="59"/>
      <c r="E385" s="68"/>
      <c r="F385" s="95"/>
      <c r="G385" s="21"/>
    </row>
    <row r="386" spans="2:7" s="32" customFormat="1" x14ac:dyDescent="0.25">
      <c r="B386" s="39"/>
      <c r="D386" s="59"/>
      <c r="E386" s="68"/>
      <c r="F386" s="95"/>
      <c r="G386" s="21"/>
    </row>
    <row r="387" spans="2:7" s="32" customFormat="1" x14ac:dyDescent="0.25">
      <c r="B387" s="39"/>
      <c r="D387" s="59"/>
      <c r="E387" s="68"/>
      <c r="F387" s="95"/>
      <c r="G387" s="21"/>
    </row>
    <row r="388" spans="2:7" s="32" customFormat="1" x14ac:dyDescent="0.25">
      <c r="B388" s="39"/>
      <c r="D388" s="59"/>
      <c r="E388" s="68"/>
      <c r="F388" s="95"/>
      <c r="G388" s="21"/>
    </row>
    <row r="389" spans="2:7" s="32" customFormat="1" x14ac:dyDescent="0.25">
      <c r="B389" s="39"/>
      <c r="D389" s="59"/>
      <c r="E389" s="68"/>
      <c r="F389" s="95"/>
      <c r="G389" s="21"/>
    </row>
    <row r="390" spans="2:7" s="32" customFormat="1" x14ac:dyDescent="0.25">
      <c r="B390" s="39"/>
      <c r="D390" s="59"/>
      <c r="E390" s="68"/>
      <c r="F390" s="95"/>
      <c r="G390" s="21"/>
    </row>
    <row r="391" spans="2:7" s="32" customFormat="1" x14ac:dyDescent="0.25">
      <c r="B391" s="39"/>
      <c r="D391" s="59"/>
      <c r="E391" s="68"/>
      <c r="F391" s="95"/>
      <c r="G391" s="21"/>
    </row>
    <row r="392" spans="2:7" s="32" customFormat="1" x14ac:dyDescent="0.25">
      <c r="B392" s="39"/>
      <c r="D392" s="59"/>
      <c r="E392" s="68"/>
      <c r="F392" s="95"/>
      <c r="G392" s="21"/>
    </row>
    <row r="393" spans="2:7" s="32" customFormat="1" x14ac:dyDescent="0.25">
      <c r="B393" s="39"/>
      <c r="D393" s="59"/>
      <c r="E393" s="68"/>
      <c r="F393" s="95"/>
      <c r="G393" s="21"/>
    </row>
    <row r="394" spans="2:7" s="32" customFormat="1" x14ac:dyDescent="0.25">
      <c r="B394" s="39"/>
      <c r="D394" s="59"/>
      <c r="E394" s="68"/>
      <c r="F394" s="95"/>
      <c r="G394" s="21"/>
    </row>
    <row r="395" spans="2:7" s="32" customFormat="1" x14ac:dyDescent="0.25">
      <c r="B395" s="39"/>
      <c r="D395" s="59"/>
      <c r="E395" s="68"/>
      <c r="F395" s="95"/>
      <c r="G395" s="21"/>
    </row>
    <row r="396" spans="2:7" s="32" customFormat="1" x14ac:dyDescent="0.25">
      <c r="B396" s="39"/>
      <c r="D396" s="59"/>
      <c r="E396" s="68"/>
      <c r="F396" s="95"/>
      <c r="G396" s="21"/>
    </row>
    <row r="397" spans="2:7" s="32" customFormat="1" x14ac:dyDescent="0.25">
      <c r="B397" s="39"/>
      <c r="D397" s="59"/>
      <c r="E397" s="68"/>
      <c r="F397" s="95"/>
      <c r="G397" s="21"/>
    </row>
    <row r="398" spans="2:7" s="32" customFormat="1" x14ac:dyDescent="0.25">
      <c r="B398" s="39"/>
      <c r="D398" s="59"/>
      <c r="E398" s="68"/>
      <c r="F398" s="95"/>
      <c r="G398" s="21"/>
    </row>
    <row r="399" spans="2:7" s="32" customFormat="1" x14ac:dyDescent="0.25">
      <c r="B399" s="39"/>
      <c r="D399" s="59"/>
      <c r="E399" s="68"/>
      <c r="F399" s="95"/>
      <c r="G399" s="21"/>
    </row>
    <row r="400" spans="2:7" s="32" customFormat="1" x14ac:dyDescent="0.25">
      <c r="B400" s="39"/>
      <c r="D400" s="59"/>
      <c r="E400" s="68"/>
      <c r="F400" s="95"/>
      <c r="G400" s="21"/>
    </row>
    <row r="401" spans="2:7" s="32" customFormat="1" x14ac:dyDescent="0.25">
      <c r="B401" s="39"/>
      <c r="D401" s="59"/>
      <c r="E401" s="68"/>
      <c r="F401" s="95"/>
      <c r="G401" s="21"/>
    </row>
    <row r="402" spans="2:7" s="32" customFormat="1" x14ac:dyDescent="0.25">
      <c r="B402" s="39"/>
      <c r="D402" s="59"/>
      <c r="E402" s="68"/>
      <c r="F402" s="95"/>
      <c r="G402" s="21"/>
    </row>
    <row r="403" spans="2:7" s="32" customFormat="1" x14ac:dyDescent="0.25">
      <c r="B403" s="39"/>
      <c r="D403" s="59"/>
      <c r="E403" s="68"/>
      <c r="F403" s="95"/>
      <c r="G403" s="21"/>
    </row>
    <row r="404" spans="2:7" s="32" customFormat="1" x14ac:dyDescent="0.25">
      <c r="B404" s="39"/>
      <c r="D404" s="59"/>
      <c r="E404" s="68"/>
      <c r="F404" s="95"/>
      <c r="G404" s="21"/>
    </row>
    <row r="405" spans="2:7" s="32" customFormat="1" x14ac:dyDescent="0.25">
      <c r="B405" s="39"/>
      <c r="D405" s="59"/>
      <c r="E405" s="68"/>
      <c r="F405" s="95"/>
      <c r="G405" s="21"/>
    </row>
    <row r="406" spans="2:7" s="32" customFormat="1" x14ac:dyDescent="0.25">
      <c r="B406" s="39"/>
      <c r="D406" s="59"/>
      <c r="E406" s="68"/>
      <c r="F406" s="95"/>
      <c r="G406" s="21"/>
    </row>
    <row r="407" spans="2:7" s="32" customFormat="1" x14ac:dyDescent="0.25">
      <c r="B407" s="39"/>
      <c r="D407" s="59"/>
      <c r="E407" s="68"/>
      <c r="F407" s="95"/>
      <c r="G407" s="21"/>
    </row>
    <row r="408" spans="2:7" s="32" customFormat="1" x14ac:dyDescent="0.25">
      <c r="B408" s="39"/>
      <c r="D408" s="59"/>
      <c r="E408" s="68"/>
      <c r="F408" s="95"/>
      <c r="G408" s="21"/>
    </row>
    <row r="409" spans="2:7" s="32" customFormat="1" x14ac:dyDescent="0.25">
      <c r="B409" s="39"/>
      <c r="D409" s="59"/>
      <c r="E409" s="68"/>
      <c r="F409" s="95"/>
      <c r="G409" s="21"/>
    </row>
    <row r="410" spans="2:7" s="32" customFormat="1" x14ac:dyDescent="0.25">
      <c r="B410" s="39"/>
      <c r="D410" s="59"/>
      <c r="E410" s="68"/>
      <c r="F410" s="95"/>
      <c r="G410" s="21"/>
    </row>
    <row r="411" spans="2:7" s="32" customFormat="1" x14ac:dyDescent="0.25">
      <c r="B411" s="39"/>
      <c r="D411" s="59"/>
      <c r="E411" s="68"/>
      <c r="F411" s="95"/>
      <c r="G411" s="21"/>
    </row>
    <row r="412" spans="2:7" s="32" customFormat="1" x14ac:dyDescent="0.25">
      <c r="B412" s="39"/>
      <c r="D412" s="59"/>
      <c r="E412" s="68"/>
      <c r="F412" s="95"/>
      <c r="G412" s="21"/>
    </row>
    <row r="413" spans="2:7" s="32" customFormat="1" x14ac:dyDescent="0.25">
      <c r="B413" s="39"/>
      <c r="D413" s="59"/>
      <c r="E413" s="68"/>
      <c r="F413" s="95"/>
      <c r="G413" s="21"/>
    </row>
    <row r="414" spans="2:7" s="32" customFormat="1" x14ac:dyDescent="0.25">
      <c r="B414" s="39"/>
      <c r="D414" s="59"/>
      <c r="E414" s="68"/>
      <c r="F414" s="95"/>
      <c r="G414" s="21"/>
    </row>
    <row r="415" spans="2:7" s="32" customFormat="1" x14ac:dyDescent="0.25">
      <c r="B415" s="39"/>
      <c r="D415" s="59"/>
      <c r="E415" s="68"/>
      <c r="F415" s="95"/>
      <c r="G415" s="21"/>
    </row>
    <row r="416" spans="2:7" s="32" customFormat="1" x14ac:dyDescent="0.25">
      <c r="B416" s="39"/>
      <c r="D416" s="59"/>
      <c r="E416" s="68"/>
      <c r="F416" s="95"/>
      <c r="G416" s="21"/>
    </row>
    <row r="417" spans="2:7" s="32" customFormat="1" x14ac:dyDescent="0.25">
      <c r="B417" s="39"/>
      <c r="D417" s="59"/>
      <c r="E417" s="68"/>
      <c r="F417" s="95"/>
      <c r="G417" s="21"/>
    </row>
    <row r="418" spans="2:7" s="32" customFormat="1" x14ac:dyDescent="0.25">
      <c r="B418" s="39"/>
      <c r="D418" s="59"/>
      <c r="E418" s="68"/>
      <c r="F418" s="95"/>
      <c r="G418" s="21"/>
    </row>
    <row r="419" spans="2:7" s="32" customFormat="1" x14ac:dyDescent="0.25">
      <c r="B419" s="39"/>
      <c r="D419" s="59"/>
      <c r="E419" s="68"/>
      <c r="F419" s="95"/>
      <c r="G419" s="21"/>
    </row>
    <row r="420" spans="2:7" s="32" customFormat="1" x14ac:dyDescent="0.25">
      <c r="B420" s="39"/>
      <c r="D420" s="59"/>
      <c r="E420" s="68"/>
      <c r="F420" s="95"/>
      <c r="G420" s="21"/>
    </row>
    <row r="421" spans="2:7" s="32" customFormat="1" x14ac:dyDescent="0.25">
      <c r="B421" s="39"/>
      <c r="D421" s="59"/>
      <c r="E421" s="68"/>
      <c r="F421" s="95"/>
      <c r="G421" s="21"/>
    </row>
    <row r="422" spans="2:7" s="32" customFormat="1" x14ac:dyDescent="0.25">
      <c r="B422" s="39"/>
      <c r="D422" s="59"/>
      <c r="E422" s="68"/>
      <c r="F422" s="95"/>
      <c r="G422" s="21"/>
    </row>
    <row r="423" spans="2:7" s="32" customFormat="1" x14ac:dyDescent="0.25">
      <c r="B423" s="39"/>
      <c r="D423" s="59"/>
      <c r="E423" s="68"/>
      <c r="F423" s="95"/>
      <c r="G423" s="21"/>
    </row>
    <row r="424" spans="2:7" s="32" customFormat="1" x14ac:dyDescent="0.25">
      <c r="B424" s="39"/>
      <c r="D424" s="59"/>
      <c r="E424" s="68"/>
      <c r="F424" s="95"/>
      <c r="G424" s="21"/>
    </row>
    <row r="425" spans="2:7" s="32" customFormat="1" x14ac:dyDescent="0.25">
      <c r="B425" s="39"/>
      <c r="D425" s="59"/>
      <c r="E425" s="68"/>
      <c r="F425" s="95"/>
      <c r="G425" s="21"/>
    </row>
    <row r="426" spans="2:7" s="32" customFormat="1" x14ac:dyDescent="0.25">
      <c r="B426" s="39"/>
      <c r="D426" s="59"/>
      <c r="E426" s="68"/>
      <c r="F426" s="95"/>
      <c r="G426" s="21"/>
    </row>
    <row r="427" spans="2:7" s="32" customFormat="1" x14ac:dyDescent="0.25">
      <c r="B427" s="39"/>
      <c r="D427" s="59"/>
      <c r="E427" s="68"/>
      <c r="F427" s="95"/>
      <c r="G427" s="21"/>
    </row>
    <row r="428" spans="2:7" s="32" customFormat="1" x14ac:dyDescent="0.25">
      <c r="B428" s="39"/>
      <c r="D428" s="59"/>
      <c r="E428" s="68"/>
      <c r="F428" s="95"/>
      <c r="G428" s="21"/>
    </row>
    <row r="429" spans="2:7" s="32" customFormat="1" x14ac:dyDescent="0.25">
      <c r="B429" s="39"/>
      <c r="D429" s="59"/>
      <c r="E429" s="68"/>
      <c r="F429" s="95"/>
      <c r="G429" s="21"/>
    </row>
    <row r="430" spans="2:7" s="32" customFormat="1" x14ac:dyDescent="0.25">
      <c r="B430" s="39"/>
      <c r="D430" s="59"/>
      <c r="E430" s="68"/>
      <c r="F430" s="95"/>
      <c r="G430" s="21"/>
    </row>
    <row r="431" spans="2:7" s="32" customFormat="1" x14ac:dyDescent="0.25">
      <c r="B431" s="39"/>
      <c r="D431" s="59"/>
      <c r="E431" s="68"/>
      <c r="F431" s="95"/>
      <c r="G431" s="21"/>
    </row>
    <row r="432" spans="2:7" s="32" customFormat="1" x14ac:dyDescent="0.25">
      <c r="B432" s="39"/>
      <c r="D432" s="59"/>
      <c r="E432" s="68"/>
      <c r="F432" s="95"/>
      <c r="G432" s="21"/>
    </row>
    <row r="433" spans="2:7" s="32" customFormat="1" x14ac:dyDescent="0.25">
      <c r="B433" s="39"/>
      <c r="D433" s="59"/>
      <c r="E433" s="68"/>
      <c r="F433" s="95"/>
      <c r="G433" s="21"/>
    </row>
    <row r="434" spans="2:7" s="32" customFormat="1" x14ac:dyDescent="0.25">
      <c r="B434" s="39"/>
      <c r="D434" s="59"/>
      <c r="E434" s="68"/>
      <c r="F434" s="95"/>
      <c r="G434" s="21"/>
    </row>
    <row r="435" spans="2:7" s="32" customFormat="1" x14ac:dyDescent="0.25">
      <c r="B435" s="39"/>
      <c r="D435" s="59"/>
      <c r="E435" s="68"/>
      <c r="F435" s="95"/>
      <c r="G435" s="21"/>
    </row>
    <row r="436" spans="2:7" s="32" customFormat="1" x14ac:dyDescent="0.25">
      <c r="B436" s="39"/>
      <c r="D436" s="59"/>
      <c r="E436" s="68"/>
      <c r="F436" s="95"/>
      <c r="G436" s="21"/>
    </row>
    <row r="437" spans="2:7" s="32" customFormat="1" x14ac:dyDescent="0.25">
      <c r="B437" s="39"/>
      <c r="D437" s="59"/>
      <c r="E437" s="68"/>
      <c r="F437" s="95"/>
      <c r="G437" s="21"/>
    </row>
    <row r="438" spans="2:7" s="32" customFormat="1" x14ac:dyDescent="0.25">
      <c r="B438" s="39"/>
      <c r="D438" s="59"/>
      <c r="E438" s="68"/>
      <c r="F438" s="95"/>
      <c r="G438" s="21"/>
    </row>
    <row r="439" spans="2:7" s="32" customFormat="1" x14ac:dyDescent="0.25">
      <c r="B439" s="39"/>
      <c r="D439" s="59"/>
      <c r="E439" s="68"/>
      <c r="F439" s="95"/>
      <c r="G439" s="21"/>
    </row>
    <row r="440" spans="2:7" s="32" customFormat="1" x14ac:dyDescent="0.25">
      <c r="B440" s="39"/>
      <c r="D440" s="59"/>
      <c r="E440" s="68"/>
      <c r="F440" s="95"/>
      <c r="G440" s="21"/>
    </row>
    <row r="441" spans="2:7" s="32" customFormat="1" x14ac:dyDescent="0.25">
      <c r="B441" s="39"/>
      <c r="D441" s="59"/>
      <c r="E441" s="68"/>
      <c r="F441" s="95"/>
      <c r="G441" s="21"/>
    </row>
    <row r="442" spans="2:7" s="32" customFormat="1" x14ac:dyDescent="0.25">
      <c r="B442" s="39"/>
      <c r="D442" s="59"/>
      <c r="E442" s="68"/>
      <c r="F442" s="95"/>
      <c r="G442" s="21"/>
    </row>
    <row r="443" spans="2:7" s="32" customFormat="1" x14ac:dyDescent="0.25">
      <c r="B443" s="39"/>
      <c r="D443" s="59"/>
      <c r="E443" s="68"/>
      <c r="F443" s="95"/>
      <c r="G443" s="21"/>
    </row>
    <row r="444" spans="2:7" s="32" customFormat="1" x14ac:dyDescent="0.25">
      <c r="B444" s="39"/>
      <c r="D444" s="59"/>
      <c r="E444" s="68"/>
      <c r="F444" s="95"/>
      <c r="G444" s="21"/>
    </row>
    <row r="445" spans="2:7" s="32" customFormat="1" x14ac:dyDescent="0.25">
      <c r="B445" s="39"/>
      <c r="D445" s="59"/>
      <c r="E445" s="68"/>
      <c r="F445" s="95"/>
      <c r="G445" s="21"/>
    </row>
    <row r="446" spans="2:7" s="32" customFormat="1" x14ac:dyDescent="0.25">
      <c r="B446" s="39"/>
      <c r="D446" s="59"/>
      <c r="E446" s="68"/>
      <c r="F446" s="95"/>
      <c r="G446" s="21"/>
    </row>
    <row r="447" spans="2:7" s="32" customFormat="1" x14ac:dyDescent="0.25">
      <c r="B447" s="39"/>
      <c r="D447" s="59"/>
      <c r="E447" s="68"/>
      <c r="F447" s="95"/>
      <c r="G447" s="21"/>
    </row>
    <row r="448" spans="2:7" s="32" customFormat="1" x14ac:dyDescent="0.25">
      <c r="B448" s="39"/>
      <c r="D448" s="59"/>
      <c r="E448" s="68"/>
      <c r="F448" s="95"/>
      <c r="G448" s="21"/>
    </row>
    <row r="449" spans="2:7" s="32" customFormat="1" x14ac:dyDescent="0.25">
      <c r="B449" s="39"/>
      <c r="D449" s="59"/>
      <c r="E449" s="68"/>
      <c r="F449" s="95"/>
      <c r="G449" s="21"/>
    </row>
    <row r="450" spans="2:7" s="32" customFormat="1" x14ac:dyDescent="0.25">
      <c r="B450" s="39"/>
      <c r="D450" s="59"/>
      <c r="E450" s="68"/>
      <c r="F450" s="95"/>
      <c r="G450" s="21"/>
    </row>
    <row r="451" spans="2:7" s="32" customFormat="1" x14ac:dyDescent="0.25">
      <c r="B451" s="39"/>
      <c r="D451" s="59"/>
      <c r="E451" s="68"/>
      <c r="F451" s="95"/>
      <c r="G451" s="21"/>
    </row>
    <row r="452" spans="2:7" s="32" customFormat="1" x14ac:dyDescent="0.25">
      <c r="B452" s="39"/>
      <c r="D452" s="59"/>
      <c r="E452" s="68"/>
      <c r="F452" s="95"/>
      <c r="G452" s="21"/>
    </row>
    <row r="453" spans="2:7" s="32" customFormat="1" x14ac:dyDescent="0.25">
      <c r="B453" s="39"/>
      <c r="D453" s="59"/>
      <c r="E453" s="68"/>
      <c r="F453" s="95"/>
      <c r="G453" s="21"/>
    </row>
    <row r="454" spans="2:7" s="32" customFormat="1" x14ac:dyDescent="0.25">
      <c r="B454" s="39"/>
      <c r="D454" s="59"/>
      <c r="E454" s="68"/>
      <c r="F454" s="95"/>
      <c r="G454" s="21"/>
    </row>
    <row r="455" spans="2:7" s="32" customFormat="1" x14ac:dyDescent="0.25">
      <c r="B455" s="39"/>
      <c r="D455" s="59"/>
      <c r="E455" s="68"/>
      <c r="F455" s="95"/>
      <c r="G455" s="21"/>
    </row>
    <row r="456" spans="2:7" s="32" customFormat="1" x14ac:dyDescent="0.25">
      <c r="B456" s="39"/>
      <c r="D456" s="59"/>
      <c r="E456" s="68"/>
      <c r="F456" s="95"/>
      <c r="G456" s="21"/>
    </row>
    <row r="457" spans="2:7" s="32" customFormat="1" x14ac:dyDescent="0.25">
      <c r="B457" s="39"/>
      <c r="D457" s="59"/>
      <c r="E457" s="68"/>
      <c r="F457" s="95"/>
      <c r="G457" s="21"/>
    </row>
    <row r="458" spans="2:7" s="32" customFormat="1" x14ac:dyDescent="0.25">
      <c r="B458" s="39"/>
      <c r="D458" s="59"/>
      <c r="E458" s="68"/>
      <c r="F458" s="95"/>
      <c r="G458" s="21"/>
    </row>
    <row r="459" spans="2:7" s="32" customFormat="1" x14ac:dyDescent="0.25">
      <c r="B459" s="39"/>
      <c r="D459" s="59"/>
      <c r="E459" s="68"/>
      <c r="F459" s="95"/>
      <c r="G459" s="21"/>
    </row>
    <row r="460" spans="2:7" s="32" customFormat="1" x14ac:dyDescent="0.25">
      <c r="B460" s="39"/>
      <c r="D460" s="59"/>
      <c r="E460" s="68"/>
      <c r="F460" s="95"/>
      <c r="G460" s="21"/>
    </row>
    <row r="461" spans="2:7" s="32" customFormat="1" x14ac:dyDescent="0.25">
      <c r="B461" s="39"/>
      <c r="D461" s="59"/>
      <c r="E461" s="68"/>
      <c r="F461" s="95"/>
      <c r="G461" s="21"/>
    </row>
    <row r="462" spans="2:7" s="32" customFormat="1" x14ac:dyDescent="0.25">
      <c r="B462" s="39"/>
      <c r="D462" s="59"/>
      <c r="E462" s="68"/>
      <c r="F462" s="95"/>
      <c r="G462" s="21"/>
    </row>
    <row r="463" spans="2:7" s="32" customFormat="1" x14ac:dyDescent="0.25">
      <c r="B463" s="39"/>
      <c r="D463" s="59"/>
      <c r="E463" s="68"/>
      <c r="F463" s="95"/>
      <c r="G463" s="21"/>
    </row>
    <row r="464" spans="2:7" s="32" customFormat="1" x14ac:dyDescent="0.25">
      <c r="B464" s="39"/>
      <c r="D464" s="59"/>
      <c r="E464" s="68"/>
      <c r="F464" s="95"/>
      <c r="G464" s="21"/>
    </row>
    <row r="465" spans="2:7" s="32" customFormat="1" x14ac:dyDescent="0.25">
      <c r="B465" s="39"/>
      <c r="D465" s="59"/>
      <c r="E465" s="68"/>
      <c r="F465" s="95"/>
      <c r="G465" s="21"/>
    </row>
    <row r="466" spans="2:7" s="32" customFormat="1" x14ac:dyDescent="0.25">
      <c r="B466" s="39"/>
      <c r="D466" s="59"/>
      <c r="E466" s="68"/>
      <c r="F466" s="95"/>
      <c r="G466" s="21"/>
    </row>
    <row r="467" spans="2:7" s="32" customFormat="1" x14ac:dyDescent="0.25">
      <c r="B467" s="39"/>
      <c r="D467" s="59"/>
      <c r="E467" s="68"/>
      <c r="F467" s="95"/>
      <c r="G467" s="21"/>
    </row>
    <row r="468" spans="2:7" s="32" customFormat="1" x14ac:dyDescent="0.25">
      <c r="B468" s="39"/>
      <c r="D468" s="59"/>
      <c r="E468" s="68"/>
      <c r="F468" s="95"/>
      <c r="G468" s="21"/>
    </row>
    <row r="469" spans="2:7" s="32" customFormat="1" x14ac:dyDescent="0.25">
      <c r="B469" s="39"/>
      <c r="D469" s="59"/>
      <c r="E469" s="68"/>
      <c r="F469" s="95"/>
      <c r="G469" s="21"/>
    </row>
    <row r="470" spans="2:7" s="32" customFormat="1" x14ac:dyDescent="0.25">
      <c r="B470" s="39"/>
      <c r="D470" s="59"/>
      <c r="E470" s="68"/>
      <c r="F470" s="95"/>
      <c r="G470" s="21"/>
    </row>
    <row r="471" spans="2:7" s="32" customFormat="1" x14ac:dyDescent="0.25">
      <c r="B471" s="39"/>
      <c r="D471" s="59"/>
      <c r="E471" s="68"/>
      <c r="F471" s="95"/>
      <c r="G471" s="21"/>
    </row>
    <row r="472" spans="2:7" s="32" customFormat="1" x14ac:dyDescent="0.25">
      <c r="B472" s="39"/>
      <c r="D472" s="59"/>
      <c r="E472" s="68"/>
      <c r="F472" s="95"/>
      <c r="G472" s="21"/>
    </row>
    <row r="473" spans="2:7" s="32" customFormat="1" x14ac:dyDescent="0.25">
      <c r="B473" s="39"/>
      <c r="D473" s="59"/>
      <c r="E473" s="68"/>
      <c r="F473" s="95"/>
      <c r="G473" s="21"/>
    </row>
    <row r="474" spans="2:7" s="32" customFormat="1" x14ac:dyDescent="0.25">
      <c r="B474" s="39"/>
      <c r="D474" s="59"/>
      <c r="E474" s="68"/>
      <c r="F474" s="95"/>
      <c r="G474" s="21"/>
    </row>
    <row r="475" spans="2:7" s="32" customFormat="1" x14ac:dyDescent="0.25">
      <c r="B475" s="39"/>
      <c r="D475" s="59"/>
      <c r="E475" s="68"/>
      <c r="F475" s="95"/>
      <c r="G475" s="21"/>
    </row>
    <row r="476" spans="2:7" s="32" customFormat="1" x14ac:dyDescent="0.25">
      <c r="B476" s="39"/>
      <c r="D476" s="59"/>
      <c r="E476" s="68"/>
      <c r="F476" s="95"/>
      <c r="G476" s="21"/>
    </row>
    <row r="477" spans="2:7" s="32" customFormat="1" x14ac:dyDescent="0.25">
      <c r="B477" s="39"/>
      <c r="D477" s="59"/>
      <c r="E477" s="68"/>
      <c r="F477" s="95"/>
      <c r="G477" s="21"/>
    </row>
    <row r="478" spans="2:7" s="32" customFormat="1" x14ac:dyDescent="0.25">
      <c r="B478" s="39"/>
      <c r="D478" s="59"/>
      <c r="E478" s="68"/>
      <c r="F478" s="95"/>
      <c r="G478" s="21"/>
    </row>
    <row r="479" spans="2:7" s="32" customFormat="1" x14ac:dyDescent="0.25">
      <c r="B479" s="39"/>
      <c r="D479" s="59"/>
      <c r="E479" s="68"/>
      <c r="F479" s="95"/>
      <c r="G479" s="21"/>
    </row>
    <row r="480" spans="2:7" s="32" customFormat="1" x14ac:dyDescent="0.25">
      <c r="B480" s="39"/>
      <c r="D480" s="59"/>
      <c r="E480" s="68"/>
      <c r="F480" s="95"/>
      <c r="G480" s="21"/>
    </row>
    <row r="481" spans="2:7" s="32" customFormat="1" x14ac:dyDescent="0.25">
      <c r="B481" s="39"/>
      <c r="D481" s="59"/>
      <c r="E481" s="68"/>
      <c r="F481" s="95"/>
      <c r="G481" s="21"/>
    </row>
    <row r="482" spans="2:7" s="32" customFormat="1" x14ac:dyDescent="0.25">
      <c r="B482" s="39"/>
      <c r="D482" s="59"/>
      <c r="E482" s="68"/>
      <c r="F482" s="95"/>
      <c r="G482" s="21"/>
    </row>
    <row r="483" spans="2:7" s="32" customFormat="1" x14ac:dyDescent="0.25">
      <c r="B483" s="39"/>
      <c r="D483" s="59"/>
      <c r="E483" s="68"/>
      <c r="F483" s="95"/>
      <c r="G483" s="21"/>
    </row>
    <row r="484" spans="2:7" s="32" customFormat="1" x14ac:dyDescent="0.25">
      <c r="B484" s="39"/>
      <c r="D484" s="59"/>
      <c r="E484" s="68"/>
      <c r="F484" s="95"/>
      <c r="G484" s="21"/>
    </row>
    <row r="485" spans="2:7" s="32" customFormat="1" x14ac:dyDescent="0.25">
      <c r="B485" s="39"/>
      <c r="D485" s="59"/>
      <c r="E485" s="68"/>
      <c r="F485" s="95"/>
      <c r="G485" s="21"/>
    </row>
    <row r="486" spans="2:7" s="32" customFormat="1" x14ac:dyDescent="0.25">
      <c r="B486" s="39"/>
      <c r="D486" s="59"/>
      <c r="E486" s="68"/>
      <c r="F486" s="95"/>
      <c r="G486" s="21"/>
    </row>
    <row r="487" spans="2:7" s="32" customFormat="1" x14ac:dyDescent="0.25">
      <c r="B487" s="39"/>
      <c r="D487" s="59"/>
      <c r="E487" s="68"/>
      <c r="F487" s="95"/>
      <c r="G487" s="21"/>
    </row>
    <row r="488" spans="2:7" s="32" customFormat="1" x14ac:dyDescent="0.25">
      <c r="B488" s="39"/>
      <c r="D488" s="59"/>
      <c r="E488" s="68"/>
      <c r="F488" s="95"/>
      <c r="G488" s="21"/>
    </row>
    <row r="489" spans="2:7" s="32" customFormat="1" x14ac:dyDescent="0.25">
      <c r="B489" s="39"/>
      <c r="D489" s="59"/>
      <c r="E489" s="68"/>
      <c r="F489" s="95"/>
      <c r="G489" s="21"/>
    </row>
    <row r="490" spans="2:7" s="32" customFormat="1" x14ac:dyDescent="0.25">
      <c r="B490" s="39"/>
      <c r="D490" s="59"/>
      <c r="E490" s="68"/>
      <c r="F490" s="95"/>
      <c r="G490" s="21"/>
    </row>
    <row r="491" spans="2:7" s="32" customFormat="1" x14ac:dyDescent="0.25">
      <c r="B491" s="39"/>
      <c r="D491" s="59"/>
      <c r="E491" s="68"/>
      <c r="F491" s="95"/>
      <c r="G491" s="21"/>
    </row>
    <row r="492" spans="2:7" s="32" customFormat="1" x14ac:dyDescent="0.25">
      <c r="B492" s="39"/>
      <c r="D492" s="59"/>
      <c r="E492" s="68"/>
      <c r="F492" s="95"/>
      <c r="G492" s="21"/>
    </row>
    <row r="493" spans="2:7" s="32" customFormat="1" x14ac:dyDescent="0.25">
      <c r="B493" s="39"/>
      <c r="D493" s="59"/>
      <c r="E493" s="68"/>
      <c r="F493" s="95"/>
      <c r="G493" s="21"/>
    </row>
    <row r="494" spans="2:7" s="32" customFormat="1" x14ac:dyDescent="0.25">
      <c r="B494" s="39"/>
      <c r="D494" s="59"/>
      <c r="E494" s="68"/>
      <c r="F494" s="95"/>
      <c r="G494" s="21"/>
    </row>
    <row r="495" spans="2:7" s="32" customFormat="1" x14ac:dyDescent="0.25">
      <c r="B495" s="39"/>
      <c r="D495" s="59"/>
      <c r="E495" s="68"/>
      <c r="F495" s="95"/>
      <c r="G495" s="21"/>
    </row>
    <row r="496" spans="2:7" s="32" customFormat="1" x14ac:dyDescent="0.25">
      <c r="B496" s="39"/>
      <c r="D496" s="59"/>
      <c r="E496" s="68"/>
      <c r="F496" s="95"/>
      <c r="G496" s="21"/>
    </row>
    <row r="497" spans="2:7" s="32" customFormat="1" x14ac:dyDescent="0.25">
      <c r="B497" s="39"/>
      <c r="D497" s="59"/>
      <c r="E497" s="68"/>
      <c r="F497" s="95"/>
      <c r="G497" s="21"/>
    </row>
    <row r="498" spans="2:7" s="32" customFormat="1" x14ac:dyDescent="0.25">
      <c r="B498" s="39"/>
      <c r="D498" s="59"/>
      <c r="E498" s="68"/>
      <c r="F498" s="95"/>
      <c r="G498" s="21"/>
    </row>
    <row r="499" spans="2:7" s="32" customFormat="1" x14ac:dyDescent="0.25">
      <c r="B499" s="39"/>
      <c r="D499" s="59"/>
      <c r="E499" s="68"/>
      <c r="F499" s="95"/>
      <c r="G499" s="21"/>
    </row>
    <row r="500" spans="2:7" s="32" customFormat="1" x14ac:dyDescent="0.25">
      <c r="B500" s="39"/>
      <c r="D500" s="59"/>
      <c r="E500" s="68"/>
      <c r="F500" s="95"/>
      <c r="G500" s="21"/>
    </row>
    <row r="501" spans="2:7" s="32" customFormat="1" x14ac:dyDescent="0.25">
      <c r="B501" s="39"/>
      <c r="D501" s="59"/>
      <c r="E501" s="68"/>
      <c r="F501" s="95"/>
      <c r="G501" s="21"/>
    </row>
    <row r="502" spans="2:7" s="32" customFormat="1" x14ac:dyDescent="0.25">
      <c r="B502" s="39"/>
      <c r="D502" s="59"/>
      <c r="E502" s="68"/>
      <c r="F502" s="95"/>
      <c r="G502" s="21"/>
    </row>
    <row r="503" spans="2:7" s="32" customFormat="1" x14ac:dyDescent="0.25">
      <c r="B503" s="39"/>
      <c r="D503" s="59"/>
      <c r="E503" s="68"/>
      <c r="F503" s="95"/>
      <c r="G503" s="21"/>
    </row>
    <row r="504" spans="2:7" s="32" customFormat="1" x14ac:dyDescent="0.25">
      <c r="B504" s="39"/>
      <c r="D504" s="59"/>
      <c r="E504" s="68"/>
      <c r="F504" s="95"/>
      <c r="G504" s="21"/>
    </row>
    <row r="505" spans="2:7" s="32" customFormat="1" x14ac:dyDescent="0.25">
      <c r="B505" s="39"/>
      <c r="D505" s="59"/>
      <c r="E505" s="68"/>
      <c r="F505" s="95"/>
      <c r="G505" s="21"/>
    </row>
    <row r="506" spans="2:7" s="32" customFormat="1" x14ac:dyDescent="0.25">
      <c r="B506" s="39"/>
      <c r="D506" s="59"/>
      <c r="E506" s="68"/>
      <c r="F506" s="95"/>
      <c r="G506" s="21"/>
    </row>
    <row r="507" spans="2:7" s="32" customFormat="1" x14ac:dyDescent="0.25">
      <c r="B507" s="39"/>
      <c r="D507" s="59"/>
      <c r="E507" s="68"/>
      <c r="F507" s="95"/>
      <c r="G507" s="21"/>
    </row>
    <row r="508" spans="2:7" s="32" customFormat="1" x14ac:dyDescent="0.25">
      <c r="B508" s="39"/>
      <c r="D508" s="59"/>
      <c r="E508" s="68"/>
      <c r="F508" s="95"/>
      <c r="G508" s="21"/>
    </row>
    <row r="509" spans="2:7" s="32" customFormat="1" x14ac:dyDescent="0.25">
      <c r="B509" s="39"/>
      <c r="D509" s="59"/>
      <c r="E509" s="68"/>
      <c r="F509" s="95"/>
      <c r="G509" s="21"/>
    </row>
    <row r="510" spans="2:7" s="32" customFormat="1" x14ac:dyDescent="0.25">
      <c r="B510" s="39"/>
      <c r="D510" s="59"/>
      <c r="E510" s="68"/>
      <c r="F510" s="95"/>
      <c r="G510" s="21"/>
    </row>
    <row r="511" spans="2:7" s="32" customFormat="1" x14ac:dyDescent="0.25">
      <c r="B511" s="39"/>
      <c r="D511" s="59"/>
      <c r="E511" s="68"/>
      <c r="F511" s="95"/>
      <c r="G511" s="21"/>
    </row>
    <row r="512" spans="2:7" s="32" customFormat="1" x14ac:dyDescent="0.25">
      <c r="B512" s="39"/>
      <c r="D512" s="59"/>
      <c r="E512" s="68"/>
      <c r="F512" s="95"/>
      <c r="G512" s="21"/>
    </row>
    <row r="513" spans="2:7" s="32" customFormat="1" x14ac:dyDescent="0.25">
      <c r="B513" s="39"/>
      <c r="D513" s="59"/>
      <c r="E513" s="68"/>
      <c r="F513" s="95"/>
      <c r="G513" s="21"/>
    </row>
    <row r="514" spans="2:7" s="32" customFormat="1" x14ac:dyDescent="0.25">
      <c r="B514" s="39"/>
      <c r="D514" s="59"/>
      <c r="E514" s="68"/>
      <c r="F514" s="95"/>
      <c r="G514" s="21"/>
    </row>
    <row r="515" spans="2:7" s="32" customFormat="1" x14ac:dyDescent="0.25">
      <c r="B515" s="39"/>
      <c r="D515" s="59"/>
      <c r="E515" s="68"/>
      <c r="F515" s="95"/>
      <c r="G515" s="21"/>
    </row>
    <row r="516" spans="2:7" s="32" customFormat="1" x14ac:dyDescent="0.25">
      <c r="B516" s="39"/>
      <c r="D516" s="59"/>
      <c r="E516" s="68"/>
      <c r="F516" s="95"/>
      <c r="G516" s="21"/>
    </row>
    <row r="517" spans="2:7" s="32" customFormat="1" x14ac:dyDescent="0.25">
      <c r="B517" s="39"/>
      <c r="D517" s="59"/>
      <c r="E517" s="68"/>
      <c r="F517" s="95"/>
      <c r="G517" s="21"/>
    </row>
    <row r="518" spans="2:7" s="32" customFormat="1" x14ac:dyDescent="0.25">
      <c r="B518" s="39"/>
      <c r="D518" s="59"/>
      <c r="E518" s="68"/>
      <c r="F518" s="95"/>
      <c r="G518" s="21"/>
    </row>
    <row r="519" spans="2:7" s="32" customFormat="1" x14ac:dyDescent="0.25">
      <c r="B519" s="39"/>
      <c r="D519" s="59"/>
      <c r="E519" s="68"/>
      <c r="F519" s="95"/>
      <c r="G519" s="21"/>
    </row>
    <row r="520" spans="2:7" s="32" customFormat="1" x14ac:dyDescent="0.25">
      <c r="B520" s="39"/>
      <c r="D520" s="59"/>
      <c r="E520" s="68"/>
      <c r="F520" s="95"/>
      <c r="G520" s="21"/>
    </row>
    <row r="521" spans="2:7" s="32" customFormat="1" x14ac:dyDescent="0.25">
      <c r="B521" s="39"/>
      <c r="D521" s="59"/>
      <c r="E521" s="68"/>
      <c r="F521" s="95"/>
      <c r="G521" s="21"/>
    </row>
    <row r="522" spans="2:7" s="32" customFormat="1" x14ac:dyDescent="0.25">
      <c r="B522" s="39"/>
      <c r="D522" s="59"/>
      <c r="E522" s="68"/>
      <c r="F522" s="95"/>
      <c r="G522" s="21"/>
    </row>
    <row r="523" spans="2:7" s="32" customFormat="1" x14ac:dyDescent="0.25">
      <c r="B523" s="39"/>
      <c r="D523" s="59"/>
      <c r="E523" s="68"/>
      <c r="F523" s="95"/>
      <c r="G523" s="21"/>
    </row>
    <row r="524" spans="2:7" s="32" customFormat="1" x14ac:dyDescent="0.25">
      <c r="B524" s="39"/>
      <c r="D524" s="59"/>
      <c r="E524" s="68"/>
      <c r="F524" s="95"/>
      <c r="G524" s="21"/>
    </row>
    <row r="525" spans="2:7" s="32" customFormat="1" x14ac:dyDescent="0.25">
      <c r="B525" s="39"/>
      <c r="D525" s="59"/>
      <c r="E525" s="68"/>
      <c r="F525" s="95"/>
      <c r="G525" s="21"/>
    </row>
    <row r="526" spans="2:7" s="32" customFormat="1" x14ac:dyDescent="0.25">
      <c r="B526" s="39"/>
      <c r="D526" s="59"/>
      <c r="E526" s="68"/>
      <c r="F526" s="95"/>
      <c r="G526" s="21"/>
    </row>
    <row r="527" spans="2:7" s="32" customFormat="1" x14ac:dyDescent="0.25">
      <c r="B527" s="39"/>
      <c r="D527" s="59"/>
      <c r="E527" s="68"/>
      <c r="F527" s="95"/>
      <c r="G527" s="21"/>
    </row>
    <row r="528" spans="2:7" s="32" customFormat="1" x14ac:dyDescent="0.25">
      <c r="B528" s="39"/>
      <c r="D528" s="59"/>
      <c r="E528" s="68"/>
      <c r="F528" s="95"/>
      <c r="G528" s="21"/>
    </row>
    <row r="529" spans="2:7" s="32" customFormat="1" x14ac:dyDescent="0.25">
      <c r="B529" s="39"/>
      <c r="D529" s="59"/>
      <c r="E529" s="68"/>
      <c r="F529" s="95"/>
      <c r="G529" s="21"/>
    </row>
    <row r="530" spans="2:7" s="32" customFormat="1" x14ac:dyDescent="0.25">
      <c r="B530" s="39"/>
      <c r="D530" s="59"/>
      <c r="E530" s="68"/>
      <c r="F530" s="95"/>
      <c r="G530" s="21"/>
    </row>
    <row r="531" spans="2:7" s="32" customFormat="1" x14ac:dyDescent="0.25">
      <c r="B531" s="39"/>
      <c r="D531" s="59"/>
      <c r="E531" s="68"/>
      <c r="F531" s="95"/>
      <c r="G531" s="21"/>
    </row>
    <row r="532" spans="2:7" s="32" customFormat="1" x14ac:dyDescent="0.25">
      <c r="B532" s="39"/>
      <c r="D532" s="59"/>
      <c r="E532" s="68"/>
      <c r="F532" s="95"/>
      <c r="G532" s="21"/>
    </row>
    <row r="533" spans="2:7" s="32" customFormat="1" x14ac:dyDescent="0.25">
      <c r="B533" s="39"/>
      <c r="D533" s="59"/>
      <c r="E533" s="68"/>
      <c r="F533" s="95"/>
      <c r="G533" s="21"/>
    </row>
    <row r="534" spans="2:7" s="32" customFormat="1" x14ac:dyDescent="0.25">
      <c r="B534" s="39"/>
      <c r="D534" s="59"/>
      <c r="E534" s="68"/>
      <c r="F534" s="95"/>
      <c r="G534" s="21"/>
    </row>
    <row r="535" spans="2:7" s="32" customFormat="1" x14ac:dyDescent="0.25">
      <c r="B535" s="39"/>
      <c r="D535" s="59"/>
      <c r="E535" s="68"/>
      <c r="F535" s="95"/>
      <c r="G535" s="21"/>
    </row>
    <row r="536" spans="2:7" s="32" customFormat="1" x14ac:dyDescent="0.25">
      <c r="B536" s="39"/>
      <c r="D536" s="59"/>
      <c r="E536" s="68"/>
      <c r="F536" s="95"/>
      <c r="G536" s="21"/>
    </row>
    <row r="537" spans="2:7" s="32" customFormat="1" x14ac:dyDescent="0.25">
      <c r="B537" s="39"/>
      <c r="D537" s="59"/>
      <c r="E537" s="68"/>
      <c r="F537" s="95"/>
      <c r="G537" s="21"/>
    </row>
    <row r="538" spans="2:7" s="32" customFormat="1" x14ac:dyDescent="0.25">
      <c r="B538" s="39"/>
      <c r="D538" s="59"/>
      <c r="E538" s="68"/>
      <c r="F538" s="95"/>
      <c r="G538" s="21"/>
    </row>
    <row r="539" spans="2:7" s="32" customFormat="1" x14ac:dyDescent="0.25">
      <c r="B539" s="39"/>
      <c r="D539" s="59"/>
      <c r="E539" s="68"/>
      <c r="F539" s="95"/>
      <c r="G539" s="21"/>
    </row>
    <row r="540" spans="2:7" s="32" customFormat="1" x14ac:dyDescent="0.25">
      <c r="B540" s="39"/>
      <c r="D540" s="59"/>
      <c r="E540" s="68"/>
      <c r="F540" s="95"/>
      <c r="G540" s="21"/>
    </row>
    <row r="541" spans="2:7" s="32" customFormat="1" x14ac:dyDescent="0.25">
      <c r="B541" s="39"/>
      <c r="D541" s="59"/>
      <c r="E541" s="68"/>
      <c r="F541" s="95"/>
      <c r="G541" s="21"/>
    </row>
    <row r="542" spans="2:7" s="32" customFormat="1" x14ac:dyDescent="0.25">
      <c r="B542" s="39"/>
      <c r="D542" s="59"/>
      <c r="E542" s="68"/>
      <c r="F542" s="95"/>
      <c r="G542" s="21"/>
    </row>
    <row r="543" spans="2:7" s="32" customFormat="1" x14ac:dyDescent="0.25">
      <c r="B543" s="39"/>
      <c r="D543" s="59"/>
      <c r="E543" s="68"/>
      <c r="F543" s="95"/>
      <c r="G543" s="21"/>
    </row>
    <row r="544" spans="2:7" s="32" customFormat="1" x14ac:dyDescent="0.25">
      <c r="B544" s="39"/>
      <c r="D544" s="59"/>
      <c r="E544" s="68"/>
      <c r="F544" s="95"/>
      <c r="G544" s="21"/>
    </row>
    <row r="545" spans="2:7" s="32" customFormat="1" x14ac:dyDescent="0.25">
      <c r="B545" s="39"/>
      <c r="D545" s="59"/>
      <c r="E545" s="68"/>
      <c r="F545" s="95"/>
      <c r="G545" s="21"/>
    </row>
    <row r="546" spans="2:7" s="32" customFormat="1" x14ac:dyDescent="0.25">
      <c r="B546" s="39"/>
      <c r="D546" s="59"/>
      <c r="E546" s="68"/>
      <c r="F546" s="95"/>
      <c r="G546" s="21"/>
    </row>
    <row r="547" spans="2:7" s="32" customFormat="1" x14ac:dyDescent="0.25">
      <c r="B547" s="39"/>
      <c r="D547" s="59"/>
      <c r="E547" s="68"/>
      <c r="F547" s="95"/>
      <c r="G547" s="21"/>
    </row>
    <row r="548" spans="2:7" s="32" customFormat="1" x14ac:dyDescent="0.25">
      <c r="B548" s="39"/>
      <c r="D548" s="59"/>
      <c r="E548" s="68"/>
      <c r="F548" s="95"/>
      <c r="G548" s="21"/>
    </row>
    <row r="549" spans="2:7" s="32" customFormat="1" x14ac:dyDescent="0.25">
      <c r="B549" s="39"/>
      <c r="D549" s="59"/>
      <c r="E549" s="68"/>
      <c r="F549" s="95"/>
      <c r="G549" s="21"/>
    </row>
    <row r="550" spans="2:7" s="32" customFormat="1" x14ac:dyDescent="0.25">
      <c r="B550" s="39"/>
      <c r="D550" s="59"/>
      <c r="E550" s="68"/>
      <c r="F550" s="95"/>
      <c r="G550" s="21"/>
    </row>
    <row r="551" spans="2:7" s="32" customFormat="1" x14ac:dyDescent="0.25">
      <c r="B551" s="39"/>
      <c r="D551" s="59"/>
      <c r="E551" s="68"/>
      <c r="F551" s="95"/>
      <c r="G551" s="21"/>
    </row>
    <row r="552" spans="2:7" s="32" customFormat="1" x14ac:dyDescent="0.25">
      <c r="B552" s="39"/>
      <c r="D552" s="59"/>
      <c r="E552" s="68"/>
      <c r="F552" s="95"/>
      <c r="G552" s="21"/>
    </row>
    <row r="553" spans="2:7" s="32" customFormat="1" x14ac:dyDescent="0.25">
      <c r="B553" s="39"/>
      <c r="D553" s="59"/>
      <c r="E553" s="68"/>
      <c r="F553" s="95"/>
      <c r="G553" s="21"/>
    </row>
    <row r="554" spans="2:7" s="32" customFormat="1" x14ac:dyDescent="0.25">
      <c r="B554" s="39"/>
      <c r="D554" s="59"/>
      <c r="E554" s="68"/>
      <c r="F554" s="95"/>
      <c r="G554" s="21"/>
    </row>
    <row r="555" spans="2:7" s="32" customFormat="1" x14ac:dyDescent="0.25">
      <c r="B555" s="39"/>
      <c r="D555" s="59"/>
      <c r="E555" s="68"/>
      <c r="F555" s="95"/>
      <c r="G555" s="21"/>
    </row>
    <row r="556" spans="2:7" s="32" customFormat="1" x14ac:dyDescent="0.25">
      <c r="B556" s="39"/>
      <c r="D556" s="59"/>
      <c r="E556" s="68"/>
      <c r="F556" s="95"/>
      <c r="G556" s="21"/>
    </row>
    <row r="557" spans="2:7" s="32" customFormat="1" x14ac:dyDescent="0.25">
      <c r="B557" s="39"/>
      <c r="D557" s="59"/>
      <c r="E557" s="68"/>
      <c r="F557" s="95"/>
      <c r="G557" s="21"/>
    </row>
    <row r="558" spans="2:7" s="32" customFormat="1" x14ac:dyDescent="0.25">
      <c r="B558" s="39"/>
      <c r="D558" s="59"/>
      <c r="E558" s="68"/>
      <c r="F558" s="95"/>
      <c r="G558" s="21"/>
    </row>
    <row r="559" spans="2:7" s="32" customFormat="1" x14ac:dyDescent="0.25">
      <c r="B559" s="39"/>
      <c r="D559" s="59"/>
      <c r="E559" s="68"/>
      <c r="F559" s="95"/>
      <c r="G559" s="21"/>
    </row>
    <row r="560" spans="2:7" s="32" customFormat="1" x14ac:dyDescent="0.25">
      <c r="B560" s="39"/>
      <c r="D560" s="59"/>
      <c r="E560" s="68"/>
      <c r="F560" s="95"/>
      <c r="G560" s="21"/>
    </row>
    <row r="561" spans="2:7" s="32" customFormat="1" x14ac:dyDescent="0.25">
      <c r="B561" s="39"/>
      <c r="D561" s="59"/>
      <c r="E561" s="68"/>
      <c r="F561" s="95"/>
      <c r="G561" s="21"/>
    </row>
    <row r="562" spans="2:7" s="32" customFormat="1" x14ac:dyDescent="0.25">
      <c r="B562" s="39"/>
      <c r="D562" s="59"/>
      <c r="E562" s="68"/>
      <c r="F562" s="95"/>
      <c r="G562" s="21"/>
    </row>
    <row r="563" spans="2:7" s="32" customFormat="1" x14ac:dyDescent="0.25">
      <c r="B563" s="39"/>
      <c r="D563" s="59"/>
      <c r="E563" s="68"/>
      <c r="F563" s="95"/>
      <c r="G563" s="21"/>
    </row>
    <row r="564" spans="2:7" s="32" customFormat="1" x14ac:dyDescent="0.25">
      <c r="B564" s="39"/>
      <c r="D564" s="59"/>
      <c r="E564" s="68"/>
      <c r="F564" s="95"/>
      <c r="G564" s="21"/>
    </row>
    <row r="565" spans="2:7" s="32" customFormat="1" x14ac:dyDescent="0.25">
      <c r="B565" s="39"/>
      <c r="D565" s="59"/>
      <c r="E565" s="68"/>
      <c r="F565" s="95"/>
      <c r="G565" s="21"/>
    </row>
    <row r="566" spans="2:7" s="32" customFormat="1" x14ac:dyDescent="0.25">
      <c r="B566" s="39"/>
      <c r="D566" s="59"/>
      <c r="E566" s="68"/>
      <c r="F566" s="95"/>
      <c r="G566" s="21"/>
    </row>
    <row r="567" spans="2:7" s="32" customFormat="1" x14ac:dyDescent="0.25">
      <c r="B567" s="39"/>
      <c r="D567" s="59"/>
      <c r="E567" s="68"/>
      <c r="F567" s="95"/>
      <c r="G567" s="21"/>
    </row>
    <row r="568" spans="2:7" s="32" customFormat="1" x14ac:dyDescent="0.25">
      <c r="B568" s="39"/>
      <c r="D568" s="59"/>
      <c r="E568" s="68"/>
      <c r="F568" s="95"/>
      <c r="G568" s="21"/>
    </row>
    <row r="569" spans="2:7" s="32" customFormat="1" x14ac:dyDescent="0.25">
      <c r="B569" s="39"/>
      <c r="D569" s="59"/>
      <c r="E569" s="68"/>
      <c r="F569" s="95"/>
      <c r="G569" s="21"/>
    </row>
    <row r="570" spans="2:7" s="32" customFormat="1" x14ac:dyDescent="0.25">
      <c r="B570" s="39"/>
      <c r="D570" s="59"/>
      <c r="E570" s="68"/>
      <c r="F570" s="95"/>
      <c r="G570" s="21"/>
    </row>
    <row r="571" spans="2:7" s="32" customFormat="1" x14ac:dyDescent="0.25">
      <c r="B571" s="39"/>
      <c r="D571" s="59"/>
      <c r="E571" s="68"/>
      <c r="F571" s="95"/>
      <c r="G571" s="21"/>
    </row>
    <row r="572" spans="2:7" s="32" customFormat="1" x14ac:dyDescent="0.25">
      <c r="B572" s="39"/>
      <c r="D572" s="59"/>
      <c r="E572" s="68"/>
      <c r="F572" s="95"/>
      <c r="G572" s="21"/>
    </row>
    <row r="573" spans="2:7" s="32" customFormat="1" x14ac:dyDescent="0.25">
      <c r="B573" s="39"/>
      <c r="D573" s="59"/>
      <c r="E573" s="68"/>
      <c r="F573" s="95"/>
      <c r="G573" s="21"/>
    </row>
    <row r="574" spans="2:7" s="32" customFormat="1" x14ac:dyDescent="0.25">
      <c r="B574" s="39"/>
      <c r="D574" s="59"/>
      <c r="E574" s="68"/>
      <c r="F574" s="95"/>
      <c r="G574" s="21"/>
    </row>
    <row r="575" spans="2:7" s="32" customFormat="1" x14ac:dyDescent="0.25">
      <c r="B575" s="39"/>
      <c r="D575" s="59"/>
      <c r="E575" s="68"/>
      <c r="F575" s="95"/>
      <c r="G575" s="21"/>
    </row>
    <row r="576" spans="2:7" s="32" customFormat="1" x14ac:dyDescent="0.25">
      <c r="B576" s="39"/>
      <c r="D576" s="59"/>
      <c r="E576" s="68"/>
      <c r="F576" s="95"/>
      <c r="G576" s="21"/>
    </row>
    <row r="577" spans="2:7" s="32" customFormat="1" x14ac:dyDescent="0.25">
      <c r="B577" s="39"/>
      <c r="D577" s="59"/>
      <c r="E577" s="68"/>
      <c r="F577" s="95"/>
      <c r="G577" s="21"/>
    </row>
    <row r="578" spans="2:7" s="32" customFormat="1" x14ac:dyDescent="0.25">
      <c r="B578" s="39"/>
      <c r="D578" s="59"/>
      <c r="E578" s="68"/>
      <c r="F578" s="95"/>
      <c r="G578" s="21"/>
    </row>
    <row r="579" spans="2:7" s="32" customFormat="1" x14ac:dyDescent="0.25">
      <c r="B579" s="39"/>
      <c r="D579" s="59"/>
      <c r="E579" s="68"/>
      <c r="F579" s="95"/>
      <c r="G579" s="21"/>
    </row>
    <row r="580" spans="2:7" s="32" customFormat="1" x14ac:dyDescent="0.25">
      <c r="B580" s="39"/>
      <c r="D580" s="59"/>
      <c r="E580" s="68"/>
      <c r="F580" s="95"/>
      <c r="G580" s="21"/>
    </row>
    <row r="581" spans="2:7" s="32" customFormat="1" x14ac:dyDescent="0.25">
      <c r="B581" s="39"/>
      <c r="D581" s="59"/>
      <c r="E581" s="68"/>
      <c r="F581" s="95"/>
      <c r="G581" s="21"/>
    </row>
    <row r="582" spans="2:7" s="32" customFormat="1" x14ac:dyDescent="0.25">
      <c r="B582" s="39"/>
      <c r="D582" s="59"/>
      <c r="E582" s="68"/>
      <c r="F582" s="95"/>
      <c r="G582" s="21"/>
    </row>
    <row r="583" spans="2:7" s="32" customFormat="1" x14ac:dyDescent="0.25">
      <c r="B583" s="39"/>
      <c r="D583" s="59"/>
      <c r="E583" s="68"/>
      <c r="F583" s="95"/>
      <c r="G583" s="21"/>
    </row>
    <row r="584" spans="2:7" s="32" customFormat="1" x14ac:dyDescent="0.25">
      <c r="B584" s="39"/>
      <c r="D584" s="59"/>
      <c r="E584" s="68"/>
      <c r="F584" s="95"/>
      <c r="G584" s="21"/>
    </row>
    <row r="585" spans="2:7" s="32" customFormat="1" x14ac:dyDescent="0.25">
      <c r="B585" s="39"/>
      <c r="D585" s="59"/>
      <c r="E585" s="68"/>
      <c r="F585" s="95"/>
      <c r="G585" s="21"/>
    </row>
    <row r="586" spans="2:7" s="32" customFormat="1" x14ac:dyDescent="0.25">
      <c r="B586" s="39"/>
      <c r="D586" s="59"/>
      <c r="E586" s="68"/>
      <c r="F586" s="95"/>
      <c r="G586" s="21"/>
    </row>
    <row r="587" spans="2:7" s="32" customFormat="1" x14ac:dyDescent="0.25">
      <c r="B587" s="39"/>
      <c r="D587" s="59"/>
      <c r="E587" s="68"/>
      <c r="F587" s="95"/>
      <c r="G587" s="21"/>
    </row>
    <row r="588" spans="2:7" s="32" customFormat="1" x14ac:dyDescent="0.25">
      <c r="B588" s="39"/>
      <c r="D588" s="59"/>
      <c r="E588" s="68"/>
      <c r="F588" s="95"/>
      <c r="G588" s="21"/>
    </row>
    <row r="589" spans="2:7" s="32" customFormat="1" x14ac:dyDescent="0.25">
      <c r="B589" s="39"/>
      <c r="D589" s="59"/>
      <c r="E589" s="68"/>
      <c r="F589" s="95"/>
      <c r="G589" s="21"/>
    </row>
    <row r="590" spans="2:7" s="32" customFormat="1" x14ac:dyDescent="0.25">
      <c r="B590" s="39"/>
      <c r="D590" s="59"/>
      <c r="E590" s="68"/>
      <c r="F590" s="95"/>
      <c r="G590" s="21"/>
    </row>
    <row r="591" spans="2:7" s="32" customFormat="1" x14ac:dyDescent="0.25">
      <c r="B591" s="39"/>
      <c r="D591" s="59"/>
      <c r="E591" s="68"/>
      <c r="F591" s="95"/>
      <c r="G591" s="21"/>
    </row>
    <row r="592" spans="2:7" s="32" customFormat="1" x14ac:dyDescent="0.25">
      <c r="B592" s="39"/>
      <c r="D592" s="59"/>
      <c r="E592" s="68"/>
      <c r="F592" s="95"/>
      <c r="G592" s="21"/>
    </row>
    <row r="593" spans="2:7" s="32" customFormat="1" x14ac:dyDescent="0.25">
      <c r="B593" s="39"/>
      <c r="D593" s="59"/>
      <c r="E593" s="68"/>
      <c r="F593" s="95"/>
      <c r="G593" s="21"/>
    </row>
    <row r="594" spans="2:7" s="32" customFormat="1" x14ac:dyDescent="0.25">
      <c r="B594" s="39"/>
      <c r="D594" s="59"/>
      <c r="E594" s="68"/>
      <c r="F594" s="95"/>
      <c r="G594" s="21"/>
    </row>
    <row r="595" spans="2:7" s="32" customFormat="1" x14ac:dyDescent="0.25">
      <c r="B595" s="39"/>
      <c r="D595" s="59"/>
      <c r="E595" s="68"/>
      <c r="F595" s="95"/>
      <c r="G595" s="21"/>
    </row>
    <row r="596" spans="2:7" s="32" customFormat="1" x14ac:dyDescent="0.25">
      <c r="B596" s="39"/>
      <c r="D596" s="59"/>
      <c r="E596" s="68"/>
      <c r="F596" s="95"/>
      <c r="G596" s="21"/>
    </row>
    <row r="597" spans="2:7" s="32" customFormat="1" x14ac:dyDescent="0.25">
      <c r="B597" s="39"/>
      <c r="D597" s="59"/>
      <c r="E597" s="68"/>
      <c r="F597" s="95"/>
      <c r="G597" s="21"/>
    </row>
    <row r="598" spans="2:7" s="32" customFormat="1" x14ac:dyDescent="0.25">
      <c r="B598" s="39"/>
      <c r="D598" s="59"/>
      <c r="E598" s="68"/>
      <c r="F598" s="95"/>
      <c r="G598" s="21"/>
    </row>
    <row r="599" spans="2:7" s="32" customFormat="1" x14ac:dyDescent="0.25">
      <c r="B599" s="39"/>
      <c r="D599" s="59"/>
      <c r="E599" s="68"/>
      <c r="F599" s="95"/>
      <c r="G599" s="21"/>
    </row>
    <row r="600" spans="2:7" s="32" customFormat="1" x14ac:dyDescent="0.25">
      <c r="B600" s="39"/>
      <c r="D600" s="59"/>
      <c r="E600" s="68"/>
      <c r="F600" s="95"/>
      <c r="G600" s="21"/>
    </row>
    <row r="601" spans="2:7" s="32" customFormat="1" x14ac:dyDescent="0.25">
      <c r="B601" s="39"/>
      <c r="D601" s="59"/>
      <c r="E601" s="68"/>
      <c r="F601" s="95"/>
      <c r="G601" s="21"/>
    </row>
    <row r="602" spans="2:7" s="32" customFormat="1" x14ac:dyDescent="0.25">
      <c r="B602" s="39"/>
      <c r="D602" s="59"/>
      <c r="E602" s="68"/>
      <c r="F602" s="95"/>
      <c r="G602" s="21"/>
    </row>
    <row r="603" spans="2:7" s="32" customFormat="1" x14ac:dyDescent="0.25">
      <c r="B603" s="39"/>
      <c r="D603" s="59"/>
      <c r="E603" s="68"/>
      <c r="F603" s="95"/>
      <c r="G603" s="21"/>
    </row>
    <row r="604" spans="2:7" s="32" customFormat="1" x14ac:dyDescent="0.25">
      <c r="B604" s="39"/>
      <c r="D604" s="59"/>
      <c r="E604" s="68"/>
      <c r="F604" s="95"/>
      <c r="G604" s="21"/>
    </row>
    <row r="605" spans="2:7" s="32" customFormat="1" x14ac:dyDescent="0.25">
      <c r="B605" s="39"/>
      <c r="D605" s="59"/>
      <c r="E605" s="68"/>
      <c r="F605" s="95"/>
      <c r="G605" s="21"/>
    </row>
    <row r="606" spans="2:7" s="32" customFormat="1" x14ac:dyDescent="0.25">
      <c r="B606" s="39"/>
      <c r="D606" s="59"/>
      <c r="E606" s="68"/>
      <c r="F606" s="95"/>
      <c r="G606" s="21"/>
    </row>
    <row r="607" spans="2:7" s="32" customFormat="1" x14ac:dyDescent="0.25">
      <c r="B607" s="39"/>
      <c r="D607" s="59"/>
      <c r="E607" s="68"/>
      <c r="F607" s="95"/>
      <c r="G607" s="21"/>
    </row>
    <row r="608" spans="2:7" s="32" customFormat="1" x14ac:dyDescent="0.25">
      <c r="B608" s="39"/>
      <c r="D608" s="59"/>
      <c r="E608" s="68"/>
      <c r="F608" s="95"/>
      <c r="G608" s="21"/>
    </row>
    <row r="609" spans="2:7" s="32" customFormat="1" x14ac:dyDescent="0.25">
      <c r="B609" s="39"/>
      <c r="D609" s="59"/>
      <c r="E609" s="68"/>
      <c r="F609" s="95"/>
      <c r="G609" s="21"/>
    </row>
    <row r="610" spans="2:7" s="32" customFormat="1" x14ac:dyDescent="0.25">
      <c r="B610" s="39"/>
      <c r="D610" s="59"/>
      <c r="E610" s="68"/>
      <c r="F610" s="95"/>
      <c r="G610" s="21"/>
    </row>
    <row r="611" spans="2:7" s="32" customFormat="1" x14ac:dyDescent="0.25">
      <c r="B611" s="39"/>
      <c r="D611" s="59"/>
      <c r="E611" s="68"/>
      <c r="F611" s="95"/>
      <c r="G611" s="21"/>
    </row>
    <row r="612" spans="2:7" s="32" customFormat="1" x14ac:dyDescent="0.25">
      <c r="B612" s="39"/>
      <c r="D612" s="59"/>
      <c r="E612" s="68"/>
      <c r="F612" s="95"/>
      <c r="G612" s="21"/>
    </row>
    <row r="613" spans="2:7" s="32" customFormat="1" x14ac:dyDescent="0.25">
      <c r="B613" s="39"/>
      <c r="D613" s="59"/>
      <c r="E613" s="68"/>
      <c r="F613" s="95"/>
      <c r="G613" s="21"/>
    </row>
    <row r="614" spans="2:7" s="32" customFormat="1" x14ac:dyDescent="0.25">
      <c r="B614" s="39"/>
      <c r="D614" s="59"/>
      <c r="E614" s="68"/>
      <c r="F614" s="95"/>
      <c r="G614" s="21"/>
    </row>
    <row r="615" spans="2:7" s="32" customFormat="1" x14ac:dyDescent="0.25">
      <c r="B615" s="39"/>
      <c r="D615" s="59"/>
      <c r="E615" s="68"/>
      <c r="F615" s="95"/>
      <c r="G615" s="21"/>
    </row>
    <row r="616" spans="2:7" s="32" customFormat="1" x14ac:dyDescent="0.25">
      <c r="B616" s="39"/>
      <c r="D616" s="59"/>
      <c r="E616" s="68"/>
      <c r="F616" s="95"/>
      <c r="G616" s="21"/>
    </row>
    <row r="617" spans="2:7" s="32" customFormat="1" x14ac:dyDescent="0.25">
      <c r="B617" s="39"/>
      <c r="D617" s="59"/>
      <c r="E617" s="68"/>
      <c r="F617" s="95"/>
      <c r="G617" s="21"/>
    </row>
    <row r="618" spans="2:7" s="32" customFormat="1" x14ac:dyDescent="0.25">
      <c r="B618" s="39"/>
      <c r="D618" s="59"/>
      <c r="E618" s="68"/>
      <c r="F618" s="95"/>
      <c r="G618" s="21"/>
    </row>
    <row r="619" spans="2:7" s="32" customFormat="1" x14ac:dyDescent="0.25">
      <c r="B619" s="39"/>
      <c r="D619" s="59"/>
      <c r="E619" s="68"/>
      <c r="F619" s="95"/>
      <c r="G619" s="21"/>
    </row>
    <row r="620" spans="2:7" s="32" customFormat="1" x14ac:dyDescent="0.25">
      <c r="B620" s="39"/>
      <c r="D620" s="59"/>
      <c r="E620" s="68"/>
      <c r="F620" s="95"/>
      <c r="G620" s="21"/>
    </row>
    <row r="621" spans="2:7" s="32" customFormat="1" x14ac:dyDescent="0.25">
      <c r="B621" s="39"/>
      <c r="D621" s="59"/>
      <c r="E621" s="68"/>
      <c r="F621" s="95"/>
      <c r="G621" s="21"/>
    </row>
    <row r="622" spans="2:7" s="32" customFormat="1" x14ac:dyDescent="0.25">
      <c r="B622" s="39"/>
      <c r="D622" s="59"/>
      <c r="E622" s="68"/>
      <c r="F622" s="95"/>
      <c r="G622" s="21"/>
    </row>
    <row r="623" spans="2:7" s="32" customFormat="1" x14ac:dyDescent="0.25">
      <c r="B623" s="39"/>
      <c r="D623" s="59"/>
      <c r="E623" s="68"/>
      <c r="F623" s="95"/>
      <c r="G623" s="21"/>
    </row>
    <row r="624" spans="2:7" s="32" customFormat="1" x14ac:dyDescent="0.25">
      <c r="B624" s="39"/>
      <c r="D624" s="59"/>
      <c r="E624" s="68"/>
      <c r="F624" s="95"/>
      <c r="G624" s="21"/>
    </row>
    <row r="625" spans="2:7" s="32" customFormat="1" x14ac:dyDescent="0.25">
      <c r="B625" s="39"/>
      <c r="D625" s="59"/>
      <c r="E625" s="68"/>
      <c r="F625" s="95"/>
      <c r="G625" s="21"/>
    </row>
    <row r="626" spans="2:7" s="32" customFormat="1" x14ac:dyDescent="0.25">
      <c r="B626" s="39"/>
      <c r="D626" s="59"/>
      <c r="E626" s="68"/>
      <c r="F626" s="95"/>
      <c r="G626" s="21"/>
    </row>
    <row r="627" spans="2:7" s="32" customFormat="1" x14ac:dyDescent="0.25">
      <c r="B627" s="39"/>
      <c r="D627" s="59"/>
      <c r="E627" s="68"/>
      <c r="F627" s="95"/>
      <c r="G627" s="21"/>
    </row>
    <row r="628" spans="2:7" s="32" customFormat="1" x14ac:dyDescent="0.25">
      <c r="B628" s="39"/>
      <c r="D628" s="59"/>
      <c r="E628" s="68"/>
      <c r="F628" s="95"/>
      <c r="G628" s="21"/>
    </row>
    <row r="629" spans="2:7" s="32" customFormat="1" x14ac:dyDescent="0.25">
      <c r="B629" s="39"/>
      <c r="D629" s="59"/>
      <c r="E629" s="68"/>
      <c r="F629" s="95"/>
      <c r="G629" s="21"/>
    </row>
    <row r="630" spans="2:7" s="32" customFormat="1" x14ac:dyDescent="0.25">
      <c r="B630" s="39"/>
      <c r="D630" s="59"/>
      <c r="E630" s="68"/>
      <c r="F630" s="95"/>
      <c r="G630" s="21"/>
    </row>
    <row r="631" spans="2:7" s="32" customFormat="1" x14ac:dyDescent="0.25">
      <c r="B631" s="39"/>
      <c r="D631" s="59"/>
      <c r="E631" s="68"/>
      <c r="F631" s="95"/>
      <c r="G631" s="21"/>
    </row>
    <row r="632" spans="2:7" s="32" customFormat="1" x14ac:dyDescent="0.25">
      <c r="B632" s="39"/>
      <c r="D632" s="59"/>
      <c r="E632" s="68"/>
      <c r="F632" s="95"/>
      <c r="G632" s="21"/>
    </row>
    <row r="633" spans="2:7" s="32" customFormat="1" x14ac:dyDescent="0.25">
      <c r="B633" s="39"/>
      <c r="D633" s="59"/>
      <c r="E633" s="68"/>
      <c r="F633" s="95"/>
      <c r="G633" s="21"/>
    </row>
    <row r="634" spans="2:7" s="32" customFormat="1" x14ac:dyDescent="0.25">
      <c r="B634" s="39"/>
      <c r="D634" s="59"/>
      <c r="E634" s="68"/>
      <c r="F634" s="95"/>
      <c r="G634" s="21"/>
    </row>
    <row r="635" spans="2:7" s="32" customFormat="1" x14ac:dyDescent="0.25">
      <c r="B635" s="39"/>
      <c r="D635" s="59"/>
      <c r="E635" s="68"/>
      <c r="F635" s="95"/>
      <c r="G635" s="21"/>
    </row>
    <row r="636" spans="2:7" s="32" customFormat="1" x14ac:dyDescent="0.25">
      <c r="B636" s="39"/>
      <c r="D636" s="59"/>
      <c r="E636" s="68"/>
      <c r="F636" s="95"/>
      <c r="G636" s="21"/>
    </row>
    <row r="637" spans="2:7" s="32" customFormat="1" x14ac:dyDescent="0.25">
      <c r="B637" s="39"/>
      <c r="D637" s="59"/>
      <c r="E637" s="68"/>
      <c r="F637" s="95"/>
      <c r="G637" s="21"/>
    </row>
    <row r="638" spans="2:7" s="32" customFormat="1" x14ac:dyDescent="0.25">
      <c r="B638" s="39"/>
      <c r="D638" s="59"/>
      <c r="E638" s="68"/>
      <c r="F638" s="95"/>
      <c r="G638" s="21"/>
    </row>
    <row r="639" spans="2:7" s="32" customFormat="1" x14ac:dyDescent="0.25">
      <c r="B639" s="39"/>
      <c r="D639" s="59"/>
      <c r="E639" s="68"/>
      <c r="F639" s="95"/>
      <c r="G639" s="21"/>
    </row>
    <row r="640" spans="2:7" s="32" customFormat="1" x14ac:dyDescent="0.25">
      <c r="B640" s="39"/>
      <c r="D640" s="59"/>
      <c r="E640" s="68"/>
      <c r="F640" s="95"/>
      <c r="G640" s="21"/>
    </row>
    <row r="641" spans="2:7" s="32" customFormat="1" x14ac:dyDescent="0.25">
      <c r="B641" s="39"/>
      <c r="D641" s="59"/>
      <c r="E641" s="68"/>
      <c r="F641" s="95"/>
      <c r="G641" s="21"/>
    </row>
    <row r="642" spans="2:7" s="32" customFormat="1" x14ac:dyDescent="0.25">
      <c r="B642" s="39"/>
      <c r="D642" s="59"/>
      <c r="E642" s="68"/>
      <c r="F642" s="95"/>
      <c r="G642" s="21"/>
    </row>
    <row r="643" spans="2:7" s="32" customFormat="1" x14ac:dyDescent="0.25">
      <c r="B643" s="39"/>
      <c r="D643" s="59"/>
      <c r="E643" s="68"/>
      <c r="F643" s="95"/>
      <c r="G643" s="21"/>
    </row>
    <row r="644" spans="2:7" s="32" customFormat="1" x14ac:dyDescent="0.25">
      <c r="B644" s="39"/>
      <c r="D644" s="59"/>
      <c r="E644" s="68"/>
      <c r="F644" s="95"/>
      <c r="G644" s="21"/>
    </row>
    <row r="645" spans="2:7" s="32" customFormat="1" x14ac:dyDescent="0.25">
      <c r="B645" s="39"/>
      <c r="D645" s="59"/>
      <c r="E645" s="68"/>
      <c r="F645" s="95"/>
      <c r="G645" s="21"/>
    </row>
    <row r="646" spans="2:7" s="32" customFormat="1" x14ac:dyDescent="0.25">
      <c r="B646" s="39"/>
      <c r="D646" s="59"/>
      <c r="E646" s="68"/>
      <c r="F646" s="95"/>
      <c r="G646" s="21"/>
    </row>
    <row r="647" spans="2:7" s="32" customFormat="1" x14ac:dyDescent="0.25">
      <c r="B647" s="39"/>
      <c r="D647" s="59"/>
      <c r="E647" s="68"/>
      <c r="F647" s="95"/>
      <c r="G647" s="21"/>
    </row>
    <row r="648" spans="2:7" s="32" customFormat="1" x14ac:dyDescent="0.25">
      <c r="B648" s="39"/>
      <c r="D648" s="59"/>
      <c r="E648" s="68"/>
      <c r="F648" s="95"/>
      <c r="G648" s="21"/>
    </row>
    <row r="649" spans="2:7" s="32" customFormat="1" x14ac:dyDescent="0.25">
      <c r="B649" s="39"/>
      <c r="D649" s="59"/>
      <c r="E649" s="68"/>
      <c r="F649" s="95"/>
      <c r="G649" s="21"/>
    </row>
    <row r="650" spans="2:7" s="32" customFormat="1" x14ac:dyDescent="0.25">
      <c r="B650" s="39"/>
      <c r="D650" s="59"/>
      <c r="E650" s="68"/>
      <c r="F650" s="95"/>
      <c r="G650" s="21"/>
    </row>
    <row r="651" spans="2:7" s="32" customFormat="1" x14ac:dyDescent="0.25">
      <c r="B651" s="39"/>
      <c r="D651" s="59"/>
      <c r="E651" s="68"/>
      <c r="F651" s="95"/>
      <c r="G651" s="21"/>
    </row>
    <row r="652" spans="2:7" s="32" customFormat="1" x14ac:dyDescent="0.25">
      <c r="B652" s="39"/>
      <c r="D652" s="59"/>
      <c r="E652" s="68"/>
      <c r="F652" s="95"/>
      <c r="G652" s="21"/>
    </row>
    <row r="653" spans="2:7" s="32" customFormat="1" x14ac:dyDescent="0.25">
      <c r="B653" s="39"/>
      <c r="D653" s="59"/>
      <c r="E653" s="68"/>
      <c r="F653" s="95"/>
      <c r="G653" s="21"/>
    </row>
    <row r="654" spans="2:7" s="32" customFormat="1" x14ac:dyDescent="0.25">
      <c r="B654" s="39"/>
      <c r="D654" s="59"/>
      <c r="E654" s="68"/>
      <c r="F654" s="95"/>
      <c r="G654" s="21"/>
    </row>
    <row r="655" spans="2:7" s="32" customFormat="1" x14ac:dyDescent="0.25">
      <c r="B655" s="39"/>
      <c r="D655" s="59"/>
      <c r="E655" s="68"/>
      <c r="F655" s="95"/>
      <c r="G655" s="21"/>
    </row>
    <row r="656" spans="2:7" s="32" customFormat="1" x14ac:dyDescent="0.25">
      <c r="B656" s="39"/>
      <c r="D656" s="59"/>
      <c r="E656" s="68"/>
      <c r="F656" s="95"/>
      <c r="G656" s="21"/>
    </row>
    <row r="657" spans="2:7" s="32" customFormat="1" x14ac:dyDescent="0.25">
      <c r="B657" s="39"/>
      <c r="D657" s="59"/>
      <c r="E657" s="68"/>
      <c r="F657" s="95"/>
      <c r="G657" s="21"/>
    </row>
    <row r="658" spans="2:7" s="32" customFormat="1" x14ac:dyDescent="0.25">
      <c r="B658" s="39"/>
      <c r="D658" s="59"/>
      <c r="E658" s="68"/>
      <c r="F658" s="95"/>
      <c r="G658" s="21"/>
    </row>
    <row r="659" spans="2:7" s="32" customFormat="1" x14ac:dyDescent="0.25">
      <c r="B659" s="39"/>
      <c r="D659" s="59"/>
      <c r="E659" s="68"/>
      <c r="F659" s="95"/>
      <c r="G659" s="21"/>
    </row>
    <row r="660" spans="2:7" s="32" customFormat="1" x14ac:dyDescent="0.25">
      <c r="B660" s="39"/>
      <c r="D660" s="59"/>
      <c r="E660" s="68"/>
      <c r="F660" s="95"/>
      <c r="G660" s="21"/>
    </row>
    <row r="661" spans="2:7" s="32" customFormat="1" x14ac:dyDescent="0.25">
      <c r="B661" s="39"/>
      <c r="D661" s="59"/>
      <c r="E661" s="68"/>
      <c r="F661" s="95"/>
      <c r="G661" s="21"/>
    </row>
    <row r="662" spans="2:7" s="32" customFormat="1" x14ac:dyDescent="0.25">
      <c r="B662" s="39"/>
      <c r="D662" s="59"/>
      <c r="E662" s="68"/>
      <c r="F662" s="95"/>
      <c r="G662" s="21"/>
    </row>
    <row r="663" spans="2:7" s="32" customFormat="1" x14ac:dyDescent="0.25">
      <c r="B663" s="39"/>
      <c r="D663" s="59"/>
      <c r="E663" s="68"/>
      <c r="F663" s="95"/>
      <c r="G663" s="21"/>
    </row>
    <row r="664" spans="2:7" s="32" customFormat="1" x14ac:dyDescent="0.25">
      <c r="B664" s="39"/>
      <c r="D664" s="59"/>
      <c r="E664" s="68"/>
      <c r="F664" s="95"/>
      <c r="G664" s="21"/>
    </row>
    <row r="665" spans="2:7" s="32" customFormat="1" x14ac:dyDescent="0.25">
      <c r="B665" s="39"/>
      <c r="D665" s="59"/>
      <c r="E665" s="68"/>
      <c r="F665" s="95"/>
      <c r="G665" s="21"/>
    </row>
    <row r="666" spans="2:7" s="32" customFormat="1" x14ac:dyDescent="0.25">
      <c r="B666" s="39"/>
      <c r="D666" s="59"/>
      <c r="E666" s="68"/>
      <c r="F666" s="95"/>
      <c r="G666" s="21"/>
    </row>
    <row r="667" spans="2:7" s="32" customFormat="1" x14ac:dyDescent="0.25">
      <c r="B667" s="39"/>
      <c r="D667" s="59"/>
      <c r="E667" s="68"/>
      <c r="F667" s="95"/>
      <c r="G667" s="21"/>
    </row>
    <row r="668" spans="2:7" s="32" customFormat="1" x14ac:dyDescent="0.25">
      <c r="B668" s="39"/>
      <c r="D668" s="59"/>
      <c r="E668" s="68"/>
      <c r="F668" s="95"/>
      <c r="G668" s="21"/>
    </row>
    <row r="669" spans="2:7" s="32" customFormat="1" x14ac:dyDescent="0.25">
      <c r="B669" s="39"/>
      <c r="D669" s="59"/>
      <c r="E669" s="68"/>
      <c r="F669" s="95"/>
      <c r="G669" s="21"/>
    </row>
    <row r="670" spans="2:7" s="32" customFormat="1" x14ac:dyDescent="0.25">
      <c r="B670" s="39"/>
      <c r="D670" s="59"/>
      <c r="E670" s="68"/>
      <c r="F670" s="95"/>
      <c r="G670" s="21"/>
    </row>
    <row r="671" spans="2:7" s="32" customFormat="1" x14ac:dyDescent="0.25">
      <c r="B671" s="39"/>
      <c r="D671" s="59"/>
      <c r="E671" s="68"/>
      <c r="F671" s="95"/>
      <c r="G671" s="21"/>
    </row>
    <row r="672" spans="2:7" s="32" customFormat="1" x14ac:dyDescent="0.25">
      <c r="B672" s="39"/>
      <c r="D672" s="59"/>
      <c r="E672" s="68"/>
      <c r="F672" s="95"/>
      <c r="G672" s="21"/>
    </row>
    <row r="673" spans="2:7" s="32" customFormat="1" x14ac:dyDescent="0.25">
      <c r="B673" s="39"/>
      <c r="D673" s="59"/>
      <c r="E673" s="68"/>
      <c r="F673" s="95"/>
      <c r="G673" s="21"/>
    </row>
    <row r="674" spans="2:7" s="32" customFormat="1" x14ac:dyDescent="0.25">
      <c r="B674" s="39"/>
      <c r="D674" s="59"/>
      <c r="E674" s="68"/>
      <c r="F674" s="95"/>
      <c r="G674" s="21"/>
    </row>
    <row r="675" spans="2:7" s="32" customFormat="1" x14ac:dyDescent="0.25">
      <c r="B675" s="39"/>
      <c r="D675" s="59"/>
      <c r="E675" s="68"/>
      <c r="F675" s="95"/>
      <c r="G675" s="21"/>
    </row>
    <row r="676" spans="2:7" s="32" customFormat="1" x14ac:dyDescent="0.25">
      <c r="B676" s="39"/>
      <c r="D676" s="59"/>
      <c r="E676" s="68"/>
      <c r="F676" s="95"/>
      <c r="G676" s="21"/>
    </row>
    <row r="677" spans="2:7" s="32" customFormat="1" x14ac:dyDescent="0.25">
      <c r="B677" s="39"/>
      <c r="D677" s="59"/>
      <c r="E677" s="68"/>
      <c r="F677" s="95"/>
      <c r="G677" s="21"/>
    </row>
    <row r="678" spans="2:7" s="32" customFormat="1" x14ac:dyDescent="0.25">
      <c r="B678" s="39"/>
      <c r="D678" s="59"/>
      <c r="E678" s="68"/>
      <c r="F678" s="95"/>
      <c r="G678" s="21"/>
    </row>
    <row r="679" spans="2:7" s="32" customFormat="1" x14ac:dyDescent="0.25">
      <c r="B679" s="39"/>
      <c r="D679" s="59"/>
      <c r="E679" s="68"/>
      <c r="F679" s="95"/>
      <c r="G679" s="21"/>
    </row>
    <row r="680" spans="2:7" s="32" customFormat="1" x14ac:dyDescent="0.25">
      <c r="B680" s="39"/>
      <c r="D680" s="59"/>
      <c r="E680" s="68"/>
      <c r="F680" s="95"/>
      <c r="G680" s="21"/>
    </row>
    <row r="681" spans="2:7" s="32" customFormat="1" x14ac:dyDescent="0.25">
      <c r="B681" s="39"/>
      <c r="D681" s="59"/>
      <c r="E681" s="68"/>
      <c r="F681" s="95"/>
      <c r="G681" s="21"/>
    </row>
    <row r="682" spans="2:7" s="32" customFormat="1" x14ac:dyDescent="0.25">
      <c r="B682" s="39"/>
      <c r="D682" s="59"/>
      <c r="E682" s="68"/>
      <c r="F682" s="95"/>
      <c r="G682" s="21"/>
    </row>
    <row r="683" spans="2:7" s="32" customFormat="1" x14ac:dyDescent="0.25">
      <c r="B683" s="39"/>
      <c r="D683" s="59"/>
      <c r="E683" s="68"/>
      <c r="F683" s="95"/>
      <c r="G683" s="21"/>
    </row>
    <row r="684" spans="2:7" s="32" customFormat="1" x14ac:dyDescent="0.25">
      <c r="B684" s="39"/>
      <c r="D684" s="59"/>
      <c r="E684" s="68"/>
      <c r="F684" s="95"/>
      <c r="G684" s="21"/>
    </row>
    <row r="685" spans="2:7" s="32" customFormat="1" x14ac:dyDescent="0.25">
      <c r="B685" s="39"/>
      <c r="D685" s="59"/>
      <c r="E685" s="68"/>
      <c r="F685" s="95"/>
      <c r="G685" s="21"/>
    </row>
    <row r="686" spans="2:7" s="32" customFormat="1" x14ac:dyDescent="0.25">
      <c r="B686" s="39"/>
      <c r="D686" s="59"/>
      <c r="E686" s="68"/>
      <c r="F686" s="95"/>
      <c r="G686" s="21"/>
    </row>
    <row r="687" spans="2:7" s="32" customFormat="1" x14ac:dyDescent="0.25">
      <c r="B687" s="39"/>
      <c r="D687" s="59"/>
      <c r="E687" s="68"/>
      <c r="F687" s="95"/>
      <c r="G687" s="21"/>
    </row>
    <row r="688" spans="2:7" s="32" customFormat="1" x14ac:dyDescent="0.25">
      <c r="B688" s="39"/>
      <c r="D688" s="59"/>
      <c r="E688" s="68"/>
      <c r="F688" s="95"/>
      <c r="G688" s="21"/>
    </row>
    <row r="689" spans="2:7" s="32" customFormat="1" x14ac:dyDescent="0.25">
      <c r="B689" s="39"/>
      <c r="D689" s="59"/>
      <c r="E689" s="68"/>
      <c r="F689" s="95"/>
      <c r="G689" s="21"/>
    </row>
    <row r="690" spans="2:7" s="32" customFormat="1" x14ac:dyDescent="0.25">
      <c r="B690" s="39"/>
      <c r="D690" s="59"/>
      <c r="E690" s="68"/>
      <c r="F690" s="95"/>
      <c r="G690" s="21"/>
    </row>
    <row r="691" spans="2:7" s="32" customFormat="1" x14ac:dyDescent="0.25">
      <c r="B691" s="39"/>
      <c r="D691" s="59"/>
      <c r="E691" s="68"/>
      <c r="F691" s="95"/>
      <c r="G691" s="21"/>
    </row>
    <row r="692" spans="2:7" s="32" customFormat="1" x14ac:dyDescent="0.25">
      <c r="B692" s="39"/>
      <c r="D692" s="59"/>
      <c r="E692" s="68"/>
      <c r="F692" s="95"/>
      <c r="G692" s="21"/>
    </row>
    <row r="693" spans="2:7" s="32" customFormat="1" x14ac:dyDescent="0.25">
      <c r="B693" s="39"/>
      <c r="D693" s="59"/>
      <c r="E693" s="68"/>
      <c r="F693" s="95"/>
      <c r="G693" s="21"/>
    </row>
    <row r="694" spans="2:7" s="32" customFormat="1" x14ac:dyDescent="0.25">
      <c r="B694" s="39"/>
      <c r="D694" s="59"/>
      <c r="E694" s="68"/>
      <c r="F694" s="95"/>
      <c r="G694" s="21"/>
    </row>
    <row r="695" spans="2:7" s="32" customFormat="1" x14ac:dyDescent="0.25">
      <c r="B695" s="39"/>
      <c r="D695" s="59"/>
      <c r="E695" s="68"/>
      <c r="F695" s="95"/>
      <c r="G695" s="21"/>
    </row>
    <row r="696" spans="2:7" s="32" customFormat="1" x14ac:dyDescent="0.25">
      <c r="B696" s="39"/>
      <c r="D696" s="59"/>
      <c r="E696" s="68"/>
      <c r="F696" s="95"/>
      <c r="G696" s="21"/>
    </row>
    <row r="697" spans="2:7" s="32" customFormat="1" x14ac:dyDescent="0.25">
      <c r="B697" s="39"/>
      <c r="D697" s="59"/>
      <c r="E697" s="68"/>
      <c r="F697" s="95"/>
      <c r="G697" s="21"/>
    </row>
    <row r="698" spans="2:7" s="32" customFormat="1" x14ac:dyDescent="0.25">
      <c r="B698" s="39"/>
      <c r="D698" s="59"/>
      <c r="E698" s="68"/>
      <c r="F698" s="95"/>
      <c r="G698" s="21"/>
    </row>
    <row r="699" spans="2:7" s="32" customFormat="1" x14ac:dyDescent="0.25">
      <c r="B699" s="39"/>
      <c r="D699" s="59"/>
      <c r="E699" s="68"/>
      <c r="F699" s="95"/>
      <c r="G699" s="21"/>
    </row>
    <row r="700" spans="2:7" s="32" customFormat="1" x14ac:dyDescent="0.25">
      <c r="B700" s="39"/>
      <c r="D700" s="59"/>
      <c r="E700" s="68"/>
      <c r="F700" s="95"/>
      <c r="G700" s="21"/>
    </row>
    <row r="701" spans="2:7" s="32" customFormat="1" x14ac:dyDescent="0.25">
      <c r="B701" s="39"/>
      <c r="D701" s="59"/>
      <c r="E701" s="68"/>
      <c r="F701" s="95"/>
      <c r="G701" s="21"/>
    </row>
    <row r="702" spans="2:7" s="32" customFormat="1" x14ac:dyDescent="0.25">
      <c r="B702" s="39"/>
      <c r="D702" s="59"/>
      <c r="E702" s="68"/>
      <c r="F702" s="95"/>
      <c r="G702" s="21"/>
    </row>
    <row r="703" spans="2:7" s="32" customFormat="1" x14ac:dyDescent="0.25">
      <c r="B703" s="39"/>
      <c r="D703" s="59"/>
      <c r="E703" s="68"/>
      <c r="F703" s="95"/>
      <c r="G703" s="21"/>
    </row>
    <row r="704" spans="2:7" s="32" customFormat="1" x14ac:dyDescent="0.25">
      <c r="B704" s="39"/>
      <c r="D704" s="59"/>
      <c r="E704" s="68"/>
      <c r="F704" s="95"/>
      <c r="G704" s="21"/>
    </row>
    <row r="705" spans="2:7" s="32" customFormat="1" x14ac:dyDescent="0.25">
      <c r="B705" s="39"/>
      <c r="D705" s="59"/>
      <c r="E705" s="68"/>
      <c r="F705" s="95"/>
      <c r="G705" s="21"/>
    </row>
    <row r="706" spans="2:7" s="32" customFormat="1" x14ac:dyDescent="0.25">
      <c r="B706" s="39"/>
      <c r="D706" s="59"/>
      <c r="E706" s="68"/>
      <c r="F706" s="95"/>
      <c r="G706" s="21"/>
    </row>
    <row r="707" spans="2:7" s="32" customFormat="1" x14ac:dyDescent="0.25">
      <c r="B707" s="39"/>
      <c r="D707" s="59"/>
      <c r="E707" s="68"/>
      <c r="F707" s="95"/>
      <c r="G707" s="21"/>
    </row>
    <row r="708" spans="2:7" s="32" customFormat="1" x14ac:dyDescent="0.25">
      <c r="B708" s="39"/>
      <c r="D708" s="59"/>
      <c r="E708" s="68"/>
      <c r="F708" s="95"/>
      <c r="G708" s="21"/>
    </row>
    <row r="709" spans="2:7" s="32" customFormat="1" x14ac:dyDescent="0.25">
      <c r="B709" s="39"/>
      <c r="D709" s="59"/>
      <c r="E709" s="68"/>
      <c r="F709" s="95"/>
      <c r="G709" s="21"/>
    </row>
    <row r="710" spans="2:7" s="32" customFormat="1" x14ac:dyDescent="0.25">
      <c r="B710" s="39"/>
      <c r="D710" s="59"/>
      <c r="E710" s="68"/>
      <c r="F710" s="95"/>
      <c r="G710" s="21"/>
    </row>
    <row r="711" spans="2:7" s="32" customFormat="1" x14ac:dyDescent="0.25">
      <c r="B711" s="39"/>
      <c r="D711" s="59"/>
      <c r="E711" s="68"/>
      <c r="F711" s="95"/>
      <c r="G711" s="21"/>
    </row>
    <row r="712" spans="2:7" s="32" customFormat="1" x14ac:dyDescent="0.25">
      <c r="B712" s="39"/>
      <c r="D712" s="59"/>
      <c r="E712" s="68"/>
      <c r="F712" s="95"/>
      <c r="G712" s="21"/>
    </row>
    <row r="713" spans="2:7" s="32" customFormat="1" x14ac:dyDescent="0.25">
      <c r="B713" s="39"/>
      <c r="D713" s="59"/>
      <c r="E713" s="68"/>
      <c r="F713" s="95"/>
      <c r="G713" s="21"/>
    </row>
    <row r="714" spans="2:7" s="32" customFormat="1" x14ac:dyDescent="0.25">
      <c r="B714" s="39"/>
      <c r="D714" s="59"/>
      <c r="E714" s="68"/>
      <c r="F714" s="95"/>
      <c r="G714" s="21"/>
    </row>
    <row r="715" spans="2:7" s="32" customFormat="1" x14ac:dyDescent="0.25">
      <c r="B715" s="39"/>
      <c r="D715" s="59"/>
      <c r="E715" s="68"/>
      <c r="F715" s="95"/>
      <c r="G715" s="21"/>
    </row>
    <row r="716" spans="2:7" s="32" customFormat="1" x14ac:dyDescent="0.25">
      <c r="B716" s="39"/>
      <c r="D716" s="59"/>
      <c r="E716" s="68"/>
      <c r="F716" s="95"/>
      <c r="G716" s="21"/>
    </row>
    <row r="717" spans="2:7" s="32" customFormat="1" x14ac:dyDescent="0.25">
      <c r="B717" s="39"/>
      <c r="D717" s="59"/>
      <c r="E717" s="68"/>
      <c r="F717" s="95"/>
      <c r="G717" s="21"/>
    </row>
    <row r="718" spans="2:7" s="32" customFormat="1" x14ac:dyDescent="0.25">
      <c r="B718" s="39"/>
      <c r="D718" s="59"/>
      <c r="E718" s="68"/>
      <c r="F718" s="95"/>
      <c r="G718" s="21"/>
    </row>
    <row r="719" spans="2:7" s="32" customFormat="1" x14ac:dyDescent="0.25">
      <c r="B719" s="39"/>
      <c r="D719" s="59"/>
      <c r="E719" s="68"/>
      <c r="F719" s="95"/>
      <c r="G719" s="21"/>
    </row>
    <row r="720" spans="2:7" s="32" customFormat="1" x14ac:dyDescent="0.25">
      <c r="B720" s="39"/>
      <c r="D720" s="59"/>
      <c r="E720" s="68"/>
      <c r="F720" s="95"/>
      <c r="G720" s="21"/>
    </row>
    <row r="721" spans="2:7" s="32" customFormat="1" x14ac:dyDescent="0.25">
      <c r="B721" s="39"/>
      <c r="D721" s="59"/>
      <c r="E721" s="68"/>
      <c r="F721" s="95"/>
      <c r="G721" s="21"/>
    </row>
    <row r="722" spans="2:7" s="32" customFormat="1" x14ac:dyDescent="0.25">
      <c r="B722" s="39"/>
      <c r="D722" s="59"/>
      <c r="E722" s="68"/>
      <c r="F722" s="95"/>
      <c r="G722" s="21"/>
    </row>
    <row r="723" spans="2:7" s="32" customFormat="1" x14ac:dyDescent="0.25">
      <c r="B723" s="39"/>
      <c r="D723" s="59"/>
      <c r="E723" s="68"/>
      <c r="F723" s="95"/>
      <c r="G723" s="21"/>
    </row>
    <row r="724" spans="2:7" s="32" customFormat="1" x14ac:dyDescent="0.25">
      <c r="B724" s="39"/>
      <c r="D724" s="59"/>
      <c r="E724" s="68"/>
      <c r="F724" s="95"/>
      <c r="G724" s="21"/>
    </row>
    <row r="725" spans="2:7" s="32" customFormat="1" x14ac:dyDescent="0.25">
      <c r="B725" s="39"/>
      <c r="D725" s="59"/>
      <c r="E725" s="68"/>
      <c r="F725" s="95"/>
      <c r="G725" s="21"/>
    </row>
    <row r="726" spans="2:7" s="32" customFormat="1" x14ac:dyDescent="0.25">
      <c r="B726" s="39"/>
      <c r="D726" s="59"/>
      <c r="E726" s="68"/>
      <c r="F726" s="95"/>
      <c r="G726" s="21"/>
    </row>
    <row r="727" spans="2:7" s="32" customFormat="1" x14ac:dyDescent="0.25">
      <c r="B727" s="39"/>
      <c r="D727" s="59"/>
      <c r="E727" s="68"/>
      <c r="F727" s="95"/>
      <c r="G727" s="21"/>
    </row>
    <row r="728" spans="2:7" s="32" customFormat="1" x14ac:dyDescent="0.25">
      <c r="B728" s="39"/>
      <c r="D728" s="59"/>
      <c r="E728" s="68"/>
      <c r="F728" s="95"/>
      <c r="G728" s="21"/>
    </row>
    <row r="729" spans="2:7" s="32" customFormat="1" x14ac:dyDescent="0.25">
      <c r="B729" s="39"/>
      <c r="D729" s="59"/>
      <c r="E729" s="68"/>
      <c r="F729" s="95"/>
      <c r="G729" s="21"/>
    </row>
    <row r="730" spans="2:7" s="32" customFormat="1" x14ac:dyDescent="0.25">
      <c r="B730" s="39"/>
      <c r="D730" s="59"/>
      <c r="E730" s="68"/>
      <c r="F730" s="95"/>
      <c r="G730" s="21"/>
    </row>
    <row r="731" spans="2:7" s="32" customFormat="1" x14ac:dyDescent="0.25">
      <c r="B731" s="39"/>
      <c r="D731" s="59"/>
      <c r="E731" s="68"/>
      <c r="F731" s="95"/>
      <c r="G731" s="21"/>
    </row>
    <row r="732" spans="2:7" s="32" customFormat="1" x14ac:dyDescent="0.25">
      <c r="B732" s="39"/>
      <c r="D732" s="59"/>
      <c r="E732" s="68"/>
      <c r="F732" s="95"/>
      <c r="G732" s="21"/>
    </row>
    <row r="733" spans="2:7" s="32" customFormat="1" x14ac:dyDescent="0.25">
      <c r="B733" s="39"/>
      <c r="D733" s="59"/>
      <c r="E733" s="68"/>
      <c r="F733" s="95"/>
      <c r="G733" s="21"/>
    </row>
    <row r="734" spans="2:7" s="32" customFormat="1" x14ac:dyDescent="0.25">
      <c r="B734" s="39"/>
      <c r="D734" s="59"/>
      <c r="E734" s="68"/>
      <c r="F734" s="95"/>
      <c r="G734" s="21"/>
    </row>
    <row r="735" spans="2:7" s="32" customFormat="1" x14ac:dyDescent="0.25">
      <c r="B735" s="39"/>
      <c r="D735" s="59"/>
      <c r="E735" s="68"/>
      <c r="F735" s="95"/>
      <c r="G735" s="21"/>
    </row>
    <row r="736" spans="2:7" s="32" customFormat="1" x14ac:dyDescent="0.25">
      <c r="B736" s="39"/>
      <c r="D736" s="59"/>
      <c r="E736" s="68"/>
      <c r="F736" s="95"/>
      <c r="G736" s="21"/>
    </row>
    <row r="737" spans="2:7" s="32" customFormat="1" x14ac:dyDescent="0.25">
      <c r="B737" s="39"/>
      <c r="D737" s="59"/>
      <c r="E737" s="68"/>
      <c r="F737" s="95"/>
      <c r="G737" s="21"/>
    </row>
    <row r="738" spans="2:7" s="32" customFormat="1" x14ac:dyDescent="0.25">
      <c r="B738" s="39"/>
      <c r="D738" s="59"/>
      <c r="E738" s="68"/>
      <c r="F738" s="95"/>
      <c r="G738" s="21"/>
    </row>
    <row r="739" spans="2:7" s="32" customFormat="1" x14ac:dyDescent="0.25">
      <c r="B739" s="39"/>
      <c r="D739" s="59"/>
      <c r="E739" s="68"/>
      <c r="F739" s="95"/>
      <c r="G739" s="21"/>
    </row>
    <row r="740" spans="2:7" s="32" customFormat="1" x14ac:dyDescent="0.25">
      <c r="B740" s="39"/>
      <c r="D740" s="59"/>
      <c r="E740" s="68"/>
      <c r="F740" s="95"/>
      <c r="G740" s="21"/>
    </row>
    <row r="741" spans="2:7" s="32" customFormat="1" x14ac:dyDescent="0.25">
      <c r="B741" s="39"/>
      <c r="D741" s="59"/>
      <c r="E741" s="68"/>
      <c r="F741" s="95"/>
      <c r="G741" s="21"/>
    </row>
    <row r="742" spans="2:7" s="32" customFormat="1" x14ac:dyDescent="0.25">
      <c r="B742" s="39"/>
      <c r="D742" s="59"/>
      <c r="E742" s="68"/>
      <c r="F742" s="95"/>
      <c r="G742" s="21"/>
    </row>
    <row r="743" spans="2:7" s="32" customFormat="1" x14ac:dyDescent="0.25">
      <c r="B743" s="39"/>
      <c r="D743" s="59"/>
      <c r="E743" s="68"/>
      <c r="F743" s="95"/>
      <c r="G743" s="21"/>
    </row>
    <row r="744" spans="2:7" s="32" customFormat="1" x14ac:dyDescent="0.25">
      <c r="B744" s="39"/>
      <c r="D744" s="59"/>
      <c r="E744" s="68"/>
      <c r="F744" s="95"/>
      <c r="G744" s="21"/>
    </row>
    <row r="745" spans="2:7" s="32" customFormat="1" x14ac:dyDescent="0.25">
      <c r="B745" s="39"/>
      <c r="D745" s="59"/>
      <c r="E745" s="68"/>
      <c r="F745" s="95"/>
      <c r="G745" s="21"/>
    </row>
    <row r="746" spans="2:7" s="32" customFormat="1" x14ac:dyDescent="0.25">
      <c r="B746" s="39"/>
      <c r="D746" s="59"/>
      <c r="E746" s="68"/>
      <c r="F746" s="95"/>
      <c r="G746" s="21"/>
    </row>
    <row r="747" spans="2:7" s="32" customFormat="1" x14ac:dyDescent="0.25">
      <c r="B747" s="39"/>
      <c r="D747" s="59"/>
      <c r="E747" s="68"/>
      <c r="F747" s="95"/>
      <c r="G747" s="21"/>
    </row>
    <row r="748" spans="2:7" s="32" customFormat="1" x14ac:dyDescent="0.25">
      <c r="B748" s="39"/>
      <c r="D748" s="59"/>
      <c r="E748" s="68"/>
      <c r="F748" s="95"/>
      <c r="G748" s="21"/>
    </row>
    <row r="749" spans="2:7" s="32" customFormat="1" x14ac:dyDescent="0.25">
      <c r="B749" s="39"/>
      <c r="D749" s="59"/>
      <c r="E749" s="68"/>
      <c r="F749" s="95"/>
      <c r="G749" s="21"/>
    </row>
    <row r="750" spans="2:7" s="32" customFormat="1" x14ac:dyDescent="0.25">
      <c r="B750" s="39"/>
      <c r="D750" s="59"/>
      <c r="E750" s="68"/>
      <c r="F750" s="95"/>
      <c r="G750" s="21"/>
    </row>
    <row r="751" spans="2:7" s="32" customFormat="1" x14ac:dyDescent="0.25">
      <c r="B751" s="39"/>
      <c r="D751" s="59"/>
      <c r="E751" s="68"/>
      <c r="F751" s="95"/>
      <c r="G751" s="21"/>
    </row>
    <row r="752" spans="2:7" s="32" customFormat="1" x14ac:dyDescent="0.25">
      <c r="B752" s="39"/>
      <c r="D752" s="59"/>
      <c r="E752" s="68"/>
      <c r="F752" s="95"/>
      <c r="G752" s="21"/>
    </row>
    <row r="753" spans="2:7" s="32" customFormat="1" x14ac:dyDescent="0.25">
      <c r="B753" s="39"/>
      <c r="D753" s="59"/>
      <c r="E753" s="68"/>
      <c r="F753" s="95"/>
      <c r="G753" s="21"/>
    </row>
    <row r="754" spans="2:7" s="32" customFormat="1" x14ac:dyDescent="0.25">
      <c r="B754" s="39"/>
      <c r="D754" s="59"/>
      <c r="E754" s="68"/>
      <c r="F754" s="95"/>
      <c r="G754" s="21"/>
    </row>
    <row r="755" spans="2:7" s="32" customFormat="1" x14ac:dyDescent="0.25">
      <c r="B755" s="39"/>
      <c r="D755" s="59"/>
      <c r="E755" s="68"/>
      <c r="F755" s="95"/>
      <c r="G755" s="21"/>
    </row>
    <row r="756" spans="2:7" s="32" customFormat="1" x14ac:dyDescent="0.25">
      <c r="B756" s="39"/>
      <c r="D756" s="59"/>
      <c r="E756" s="68"/>
      <c r="F756" s="95"/>
      <c r="G756" s="21"/>
    </row>
    <row r="757" spans="2:7" s="32" customFormat="1" x14ac:dyDescent="0.25">
      <c r="B757" s="39"/>
      <c r="D757" s="59"/>
      <c r="E757" s="68"/>
      <c r="F757" s="95"/>
      <c r="G757" s="21"/>
    </row>
    <row r="758" spans="2:7" s="32" customFormat="1" x14ac:dyDescent="0.25">
      <c r="B758" s="39"/>
      <c r="D758" s="59"/>
      <c r="E758" s="68"/>
      <c r="F758" s="95"/>
      <c r="G758" s="21"/>
    </row>
    <row r="759" spans="2:7" s="32" customFormat="1" x14ac:dyDescent="0.25">
      <c r="B759" s="39"/>
      <c r="D759" s="59"/>
      <c r="E759" s="68"/>
      <c r="F759" s="95"/>
      <c r="G759" s="21"/>
    </row>
    <row r="760" spans="2:7" s="32" customFormat="1" x14ac:dyDescent="0.25">
      <c r="B760" s="39"/>
      <c r="D760" s="59"/>
      <c r="E760" s="68"/>
      <c r="F760" s="95"/>
      <c r="G760" s="21"/>
    </row>
    <row r="761" spans="2:7" s="32" customFormat="1" x14ac:dyDescent="0.25">
      <c r="B761" s="39"/>
      <c r="D761" s="59"/>
      <c r="E761" s="68"/>
      <c r="F761" s="95"/>
      <c r="G761" s="21"/>
    </row>
    <row r="762" spans="2:7" s="32" customFormat="1" x14ac:dyDescent="0.25">
      <c r="B762" s="39"/>
      <c r="D762" s="59"/>
      <c r="E762" s="68"/>
      <c r="F762" s="95"/>
      <c r="G762" s="21"/>
    </row>
    <row r="763" spans="2:7" s="32" customFormat="1" x14ac:dyDescent="0.25">
      <c r="B763" s="39"/>
      <c r="D763" s="59"/>
      <c r="E763" s="68"/>
      <c r="F763" s="95"/>
      <c r="G763" s="21"/>
    </row>
    <row r="764" spans="2:7" s="32" customFormat="1" x14ac:dyDescent="0.25">
      <c r="B764" s="39"/>
      <c r="D764" s="59"/>
      <c r="E764" s="68"/>
      <c r="F764" s="95"/>
      <c r="G764" s="21"/>
    </row>
    <row r="765" spans="2:7" s="32" customFormat="1" x14ac:dyDescent="0.25">
      <c r="B765" s="39"/>
      <c r="D765" s="59"/>
      <c r="E765" s="68"/>
      <c r="F765" s="95"/>
      <c r="G765" s="21"/>
    </row>
    <row r="766" spans="2:7" s="32" customFormat="1" x14ac:dyDescent="0.25">
      <c r="B766" s="39"/>
      <c r="D766" s="59"/>
      <c r="E766" s="68"/>
      <c r="F766" s="95"/>
      <c r="G766" s="21"/>
    </row>
    <row r="767" spans="2:7" s="32" customFormat="1" x14ac:dyDescent="0.25">
      <c r="B767" s="39"/>
      <c r="D767" s="59"/>
      <c r="E767" s="68"/>
      <c r="F767" s="95"/>
      <c r="G767" s="21"/>
    </row>
    <row r="768" spans="2:7" s="32" customFormat="1" x14ac:dyDescent="0.25">
      <c r="B768" s="39"/>
      <c r="D768" s="59"/>
      <c r="E768" s="68"/>
      <c r="F768" s="95"/>
      <c r="G768" s="21"/>
    </row>
    <row r="769" spans="2:7" s="32" customFormat="1" x14ac:dyDescent="0.25">
      <c r="B769" s="39"/>
      <c r="D769" s="59"/>
      <c r="E769" s="68"/>
      <c r="F769" s="95"/>
      <c r="G769" s="21"/>
    </row>
    <row r="770" spans="2:7" s="32" customFormat="1" x14ac:dyDescent="0.25">
      <c r="B770" s="39"/>
      <c r="D770" s="59"/>
      <c r="E770" s="68"/>
      <c r="F770" s="95"/>
      <c r="G770" s="21"/>
    </row>
    <row r="771" spans="2:7" s="32" customFormat="1" x14ac:dyDescent="0.25">
      <c r="B771" s="39"/>
      <c r="D771" s="59"/>
      <c r="E771" s="68"/>
      <c r="F771" s="95"/>
      <c r="G771" s="21"/>
    </row>
    <row r="772" spans="2:7" s="32" customFormat="1" x14ac:dyDescent="0.25">
      <c r="B772" s="39"/>
      <c r="D772" s="59"/>
      <c r="E772" s="68"/>
      <c r="F772" s="95"/>
      <c r="G772" s="21"/>
    </row>
    <row r="773" spans="2:7" s="32" customFormat="1" x14ac:dyDescent="0.25">
      <c r="B773" s="39"/>
      <c r="D773" s="59"/>
      <c r="E773" s="68"/>
      <c r="F773" s="95"/>
      <c r="G773" s="21"/>
    </row>
    <row r="774" spans="2:7" s="32" customFormat="1" x14ac:dyDescent="0.25">
      <c r="B774" s="39"/>
      <c r="D774" s="59"/>
      <c r="E774" s="68"/>
      <c r="F774" s="95"/>
      <c r="G774" s="21"/>
    </row>
    <row r="775" spans="2:7" s="32" customFormat="1" x14ac:dyDescent="0.25">
      <c r="B775" s="39"/>
      <c r="D775" s="59"/>
      <c r="E775" s="68"/>
      <c r="F775" s="95"/>
      <c r="G775" s="21"/>
    </row>
    <row r="776" spans="2:7" s="32" customFormat="1" x14ac:dyDescent="0.25">
      <c r="B776" s="39"/>
      <c r="D776" s="59"/>
      <c r="E776" s="68"/>
      <c r="F776" s="95"/>
      <c r="G776" s="21"/>
    </row>
    <row r="777" spans="2:7" s="32" customFormat="1" x14ac:dyDescent="0.25">
      <c r="B777" s="39"/>
      <c r="D777" s="59"/>
      <c r="E777" s="68"/>
      <c r="F777" s="95"/>
      <c r="G777" s="21"/>
    </row>
    <row r="778" spans="2:7" s="32" customFormat="1" x14ac:dyDescent="0.25">
      <c r="B778" s="39"/>
      <c r="D778" s="59"/>
      <c r="E778" s="68"/>
      <c r="F778" s="95"/>
      <c r="G778" s="21"/>
    </row>
    <row r="779" spans="2:7" s="32" customFormat="1" x14ac:dyDescent="0.25">
      <c r="B779" s="39"/>
      <c r="D779" s="59"/>
      <c r="E779" s="68"/>
      <c r="F779" s="95"/>
      <c r="G779" s="21"/>
    </row>
    <row r="780" spans="2:7" s="32" customFormat="1" x14ac:dyDescent="0.25">
      <c r="B780" s="39"/>
      <c r="D780" s="59"/>
      <c r="E780" s="68"/>
      <c r="F780" s="95"/>
      <c r="G780" s="21"/>
    </row>
    <row r="781" spans="2:7" s="32" customFormat="1" x14ac:dyDescent="0.25">
      <c r="B781" s="39"/>
      <c r="D781" s="59"/>
      <c r="E781" s="68"/>
      <c r="F781" s="95"/>
      <c r="G781" s="21"/>
    </row>
    <row r="782" spans="2:7" s="32" customFormat="1" x14ac:dyDescent="0.25">
      <c r="B782" s="39"/>
      <c r="D782" s="59"/>
      <c r="E782" s="68"/>
      <c r="F782" s="95"/>
      <c r="G782" s="21"/>
    </row>
    <row r="783" spans="2:7" s="32" customFormat="1" x14ac:dyDescent="0.25">
      <c r="B783" s="39"/>
      <c r="D783" s="59"/>
      <c r="E783" s="68"/>
      <c r="F783" s="95"/>
      <c r="G783" s="21"/>
    </row>
    <row r="784" spans="2:7" s="32" customFormat="1" x14ac:dyDescent="0.25">
      <c r="B784" s="39"/>
      <c r="D784" s="59"/>
      <c r="E784" s="68"/>
      <c r="F784" s="95"/>
      <c r="G784" s="21"/>
    </row>
    <row r="785" spans="2:7" s="32" customFormat="1" x14ac:dyDescent="0.25">
      <c r="B785" s="39"/>
      <c r="D785" s="59"/>
      <c r="E785" s="68"/>
      <c r="F785" s="95"/>
      <c r="G785" s="21"/>
    </row>
    <row r="786" spans="2:7" s="32" customFormat="1" x14ac:dyDescent="0.25">
      <c r="B786" s="39"/>
      <c r="D786" s="59"/>
      <c r="E786" s="68"/>
      <c r="F786" s="95"/>
      <c r="G786" s="21"/>
    </row>
    <row r="787" spans="2:7" s="32" customFormat="1" x14ac:dyDescent="0.25">
      <c r="B787" s="39"/>
      <c r="D787" s="59"/>
      <c r="E787" s="68"/>
      <c r="F787" s="95"/>
      <c r="G787" s="21"/>
    </row>
    <row r="788" spans="2:7" s="32" customFormat="1" x14ac:dyDescent="0.25">
      <c r="B788" s="39"/>
      <c r="D788" s="59"/>
      <c r="E788" s="68"/>
      <c r="F788" s="95"/>
      <c r="G788" s="21"/>
    </row>
    <row r="789" spans="2:7" s="32" customFormat="1" x14ac:dyDescent="0.25">
      <c r="B789" s="39"/>
      <c r="D789" s="59"/>
      <c r="E789" s="68"/>
      <c r="F789" s="95"/>
      <c r="G789" s="21"/>
    </row>
    <row r="790" spans="2:7" s="32" customFormat="1" x14ac:dyDescent="0.25">
      <c r="B790" s="39"/>
      <c r="D790" s="59"/>
      <c r="E790" s="68"/>
      <c r="F790" s="95"/>
      <c r="G790" s="21"/>
    </row>
    <row r="791" spans="2:7" s="32" customFormat="1" x14ac:dyDescent="0.25">
      <c r="B791" s="39"/>
      <c r="D791" s="59"/>
      <c r="E791" s="68"/>
      <c r="F791" s="95"/>
      <c r="G791" s="21"/>
    </row>
    <row r="792" spans="2:7" s="32" customFormat="1" x14ac:dyDescent="0.25">
      <c r="B792" s="39"/>
      <c r="D792" s="59"/>
      <c r="E792" s="68"/>
      <c r="F792" s="95"/>
      <c r="G792" s="21"/>
    </row>
    <row r="793" spans="2:7" s="32" customFormat="1" x14ac:dyDescent="0.25">
      <c r="B793" s="39"/>
      <c r="D793" s="59"/>
      <c r="E793" s="68"/>
      <c r="F793" s="95"/>
      <c r="G793" s="21"/>
    </row>
    <row r="794" spans="2:7" s="32" customFormat="1" x14ac:dyDescent="0.25">
      <c r="B794" s="39"/>
      <c r="D794" s="59"/>
      <c r="E794" s="68"/>
      <c r="F794" s="95"/>
      <c r="G794" s="21"/>
    </row>
    <row r="795" spans="2:7" s="32" customFormat="1" x14ac:dyDescent="0.25">
      <c r="B795" s="39"/>
      <c r="D795" s="59"/>
      <c r="E795" s="68"/>
      <c r="F795" s="95"/>
      <c r="G795" s="21"/>
    </row>
    <row r="796" spans="2:7" s="32" customFormat="1" x14ac:dyDescent="0.25">
      <c r="B796" s="39"/>
      <c r="D796" s="59"/>
      <c r="E796" s="68"/>
      <c r="F796" s="95"/>
      <c r="G796" s="21"/>
    </row>
    <row r="797" spans="2:7" s="32" customFormat="1" x14ac:dyDescent="0.25">
      <c r="B797" s="39"/>
      <c r="D797" s="59"/>
      <c r="E797" s="68"/>
      <c r="F797" s="95"/>
      <c r="G797" s="21"/>
    </row>
    <row r="798" spans="2:7" s="32" customFormat="1" x14ac:dyDescent="0.25">
      <c r="B798" s="39"/>
      <c r="D798" s="59"/>
      <c r="E798" s="68"/>
      <c r="F798" s="95"/>
      <c r="G798" s="21"/>
    </row>
    <row r="799" spans="2:7" s="32" customFormat="1" x14ac:dyDescent="0.25">
      <c r="B799" s="39"/>
      <c r="D799" s="59"/>
      <c r="E799" s="68"/>
      <c r="F799" s="95"/>
      <c r="G799" s="21"/>
    </row>
    <row r="800" spans="2:7" s="32" customFormat="1" x14ac:dyDescent="0.25">
      <c r="B800" s="39"/>
      <c r="D800" s="59"/>
      <c r="E800" s="68"/>
      <c r="F800" s="95"/>
      <c r="G800" s="21"/>
    </row>
    <row r="801" spans="2:7" s="32" customFormat="1" x14ac:dyDescent="0.25">
      <c r="B801" s="39"/>
      <c r="D801" s="59"/>
      <c r="E801" s="68"/>
      <c r="F801" s="95"/>
      <c r="G801" s="21"/>
    </row>
    <row r="802" spans="2:7" s="32" customFormat="1" x14ac:dyDescent="0.25">
      <c r="B802" s="39"/>
      <c r="D802" s="59"/>
      <c r="E802" s="68"/>
      <c r="F802" s="95"/>
      <c r="G802" s="21"/>
    </row>
    <row r="803" spans="2:7" s="32" customFormat="1" x14ac:dyDescent="0.25">
      <c r="B803" s="39"/>
      <c r="D803" s="59"/>
      <c r="E803" s="68"/>
      <c r="F803" s="95"/>
      <c r="G803" s="21"/>
    </row>
    <row r="804" spans="2:7" s="32" customFormat="1" x14ac:dyDescent="0.25">
      <c r="B804" s="39"/>
      <c r="D804" s="59"/>
      <c r="E804" s="68"/>
      <c r="F804" s="95"/>
      <c r="G804" s="21"/>
    </row>
    <row r="805" spans="2:7" s="32" customFormat="1" x14ac:dyDescent="0.25">
      <c r="B805" s="39"/>
      <c r="D805" s="59"/>
      <c r="E805" s="68"/>
      <c r="F805" s="95"/>
      <c r="G805" s="21"/>
    </row>
    <row r="806" spans="2:7" s="32" customFormat="1" x14ac:dyDescent="0.25">
      <c r="B806" s="39"/>
      <c r="D806" s="59"/>
      <c r="E806" s="68"/>
      <c r="F806" s="95"/>
      <c r="G806" s="21"/>
    </row>
    <row r="807" spans="2:7" s="32" customFormat="1" x14ac:dyDescent="0.25">
      <c r="B807" s="39"/>
      <c r="D807" s="59"/>
      <c r="E807" s="68"/>
      <c r="F807" s="95"/>
      <c r="G807" s="21"/>
    </row>
    <row r="808" spans="2:7" s="32" customFormat="1" x14ac:dyDescent="0.25">
      <c r="B808" s="39"/>
      <c r="D808" s="59"/>
      <c r="E808" s="68"/>
      <c r="F808" s="95"/>
      <c r="G808" s="21"/>
    </row>
    <row r="809" spans="2:7" s="32" customFormat="1" x14ac:dyDescent="0.25">
      <c r="B809" s="39"/>
      <c r="D809" s="59"/>
      <c r="E809" s="68"/>
      <c r="F809" s="95"/>
      <c r="G809" s="21"/>
    </row>
    <row r="810" spans="2:7" s="32" customFormat="1" x14ac:dyDescent="0.25">
      <c r="B810" s="39"/>
      <c r="D810" s="59"/>
      <c r="E810" s="68"/>
      <c r="F810" s="95"/>
      <c r="G810" s="21"/>
    </row>
    <row r="811" spans="2:7" s="32" customFormat="1" x14ac:dyDescent="0.25">
      <c r="B811" s="39"/>
      <c r="D811" s="59"/>
      <c r="E811" s="68"/>
      <c r="F811" s="95"/>
      <c r="G811" s="21"/>
    </row>
    <row r="812" spans="2:7" s="32" customFormat="1" x14ac:dyDescent="0.25">
      <c r="B812" s="39"/>
      <c r="D812" s="59"/>
      <c r="E812" s="68"/>
      <c r="F812" s="95"/>
      <c r="G812" s="21"/>
    </row>
    <row r="813" spans="2:7" s="32" customFormat="1" x14ac:dyDescent="0.25">
      <c r="B813" s="39"/>
      <c r="D813" s="59"/>
      <c r="E813" s="68"/>
      <c r="F813" s="95"/>
      <c r="G813" s="21"/>
    </row>
    <row r="814" spans="2:7" s="32" customFormat="1" x14ac:dyDescent="0.25">
      <c r="B814" s="39"/>
      <c r="D814" s="59"/>
      <c r="E814" s="68"/>
      <c r="F814" s="95"/>
      <c r="G814" s="21"/>
    </row>
    <row r="815" spans="2:7" s="32" customFormat="1" x14ac:dyDescent="0.25">
      <c r="B815" s="39"/>
      <c r="D815" s="59"/>
      <c r="E815" s="68"/>
      <c r="F815" s="95"/>
      <c r="G815" s="21"/>
    </row>
    <row r="816" spans="2:7" s="32" customFormat="1" x14ac:dyDescent="0.25">
      <c r="B816" s="39"/>
      <c r="D816" s="59"/>
      <c r="E816" s="68"/>
      <c r="F816" s="95"/>
      <c r="G816" s="21"/>
    </row>
    <row r="817" spans="2:7" s="32" customFormat="1" x14ac:dyDescent="0.25">
      <c r="B817" s="39"/>
      <c r="D817" s="59"/>
      <c r="E817" s="68"/>
      <c r="F817" s="95"/>
      <c r="G817" s="21"/>
    </row>
    <row r="818" spans="2:7" s="32" customFormat="1" x14ac:dyDescent="0.25">
      <c r="B818" s="39"/>
      <c r="D818" s="59"/>
      <c r="E818" s="68"/>
      <c r="F818" s="95"/>
      <c r="G818" s="21"/>
    </row>
    <row r="819" spans="2:7" s="32" customFormat="1" x14ac:dyDescent="0.25">
      <c r="B819" s="39"/>
      <c r="D819" s="59"/>
      <c r="E819" s="68"/>
      <c r="F819" s="95"/>
      <c r="G819" s="21"/>
    </row>
    <row r="820" spans="2:7" s="32" customFormat="1" x14ac:dyDescent="0.25">
      <c r="B820" s="39"/>
      <c r="D820" s="59"/>
      <c r="E820" s="68"/>
      <c r="F820" s="95"/>
      <c r="G820" s="21"/>
    </row>
    <row r="821" spans="2:7" s="32" customFormat="1" x14ac:dyDescent="0.25">
      <c r="B821" s="39"/>
      <c r="D821" s="59"/>
      <c r="E821" s="68"/>
      <c r="F821" s="95"/>
      <c r="G821" s="21"/>
    </row>
    <row r="822" spans="2:7" s="32" customFormat="1" x14ac:dyDescent="0.25">
      <c r="B822" s="39"/>
      <c r="D822" s="59"/>
      <c r="E822" s="68"/>
      <c r="F822" s="95"/>
      <c r="G822" s="21"/>
    </row>
    <row r="823" spans="2:7" s="32" customFormat="1" x14ac:dyDescent="0.25">
      <c r="B823" s="39"/>
      <c r="D823" s="59"/>
      <c r="E823" s="68"/>
      <c r="F823" s="95"/>
      <c r="G823" s="21"/>
    </row>
    <row r="824" spans="2:7" s="32" customFormat="1" x14ac:dyDescent="0.25">
      <c r="B824" s="39"/>
      <c r="D824" s="59"/>
      <c r="E824" s="68"/>
      <c r="F824" s="95"/>
      <c r="G824" s="21"/>
    </row>
    <row r="825" spans="2:7" s="32" customFormat="1" x14ac:dyDescent="0.25">
      <c r="B825" s="39"/>
      <c r="D825" s="59"/>
      <c r="E825" s="68"/>
      <c r="F825" s="95"/>
      <c r="G825" s="21"/>
    </row>
    <row r="826" spans="2:7" s="32" customFormat="1" x14ac:dyDescent="0.25">
      <c r="B826" s="39"/>
      <c r="D826" s="59"/>
      <c r="E826" s="68"/>
      <c r="F826" s="95"/>
      <c r="G826" s="21"/>
    </row>
    <row r="827" spans="2:7" s="32" customFormat="1" x14ac:dyDescent="0.25">
      <c r="B827" s="39"/>
      <c r="D827" s="59"/>
      <c r="E827" s="68"/>
      <c r="F827" s="95"/>
      <c r="G827" s="21"/>
    </row>
    <row r="828" spans="2:7" s="32" customFormat="1" x14ac:dyDescent="0.25">
      <c r="B828" s="39"/>
      <c r="D828" s="59"/>
      <c r="E828" s="68"/>
      <c r="F828" s="95"/>
      <c r="G828" s="21"/>
    </row>
    <row r="829" spans="2:7" s="32" customFormat="1" x14ac:dyDescent="0.25">
      <c r="B829" s="39"/>
      <c r="D829" s="59"/>
      <c r="E829" s="68"/>
      <c r="F829" s="95"/>
      <c r="G829" s="21"/>
    </row>
    <row r="830" spans="2:7" s="32" customFormat="1" x14ac:dyDescent="0.25">
      <c r="B830" s="39"/>
      <c r="D830" s="59"/>
      <c r="E830" s="68"/>
      <c r="F830" s="95"/>
      <c r="G830" s="21"/>
    </row>
    <row r="831" spans="2:7" s="32" customFormat="1" x14ac:dyDescent="0.25">
      <c r="B831" s="39"/>
      <c r="D831" s="59"/>
      <c r="E831" s="68"/>
      <c r="F831" s="95"/>
      <c r="G831" s="21"/>
    </row>
    <row r="832" spans="2:7" s="32" customFormat="1" x14ac:dyDescent="0.25">
      <c r="B832" s="39"/>
      <c r="D832" s="59"/>
      <c r="E832" s="68"/>
      <c r="F832" s="95"/>
      <c r="G832" s="21"/>
    </row>
    <row r="833" spans="2:7" s="32" customFormat="1" x14ac:dyDescent="0.25">
      <c r="B833" s="39"/>
      <c r="D833" s="59"/>
      <c r="E833" s="68"/>
      <c r="F833" s="95"/>
      <c r="G833" s="21"/>
    </row>
    <row r="834" spans="2:7" s="32" customFormat="1" x14ac:dyDescent="0.25">
      <c r="B834" s="39"/>
      <c r="D834" s="59"/>
      <c r="E834" s="68"/>
      <c r="F834" s="95"/>
      <c r="G834" s="21"/>
    </row>
    <row r="835" spans="2:7" s="32" customFormat="1" x14ac:dyDescent="0.25">
      <c r="B835" s="39"/>
      <c r="D835" s="59"/>
      <c r="E835" s="68"/>
      <c r="F835" s="95"/>
      <c r="G835" s="21"/>
    </row>
    <row r="836" spans="2:7" s="32" customFormat="1" x14ac:dyDescent="0.25">
      <c r="B836" s="39"/>
      <c r="D836" s="59"/>
      <c r="E836" s="68"/>
      <c r="F836" s="95"/>
      <c r="G836" s="21"/>
    </row>
    <row r="837" spans="2:7" s="32" customFormat="1" x14ac:dyDescent="0.25">
      <c r="B837" s="39"/>
      <c r="D837" s="59"/>
      <c r="E837" s="68"/>
      <c r="F837" s="95"/>
      <c r="G837" s="21"/>
    </row>
    <row r="838" spans="2:7" s="32" customFormat="1" x14ac:dyDescent="0.25">
      <c r="B838" s="39"/>
      <c r="D838" s="59"/>
      <c r="E838" s="68"/>
      <c r="F838" s="95"/>
      <c r="G838" s="21"/>
    </row>
    <row r="839" spans="2:7" s="32" customFormat="1" x14ac:dyDescent="0.25">
      <c r="B839" s="39"/>
      <c r="D839" s="59"/>
      <c r="E839" s="68"/>
      <c r="F839" s="95"/>
      <c r="G839" s="21"/>
    </row>
    <row r="840" spans="2:7" s="32" customFormat="1" x14ac:dyDescent="0.25">
      <c r="B840" s="39"/>
      <c r="D840" s="59"/>
      <c r="E840" s="68"/>
      <c r="F840" s="95"/>
      <c r="G840" s="21"/>
    </row>
    <row r="841" spans="2:7" s="32" customFormat="1" x14ac:dyDescent="0.25">
      <c r="B841" s="39"/>
      <c r="D841" s="59"/>
      <c r="E841" s="68"/>
      <c r="F841" s="95"/>
      <c r="G841" s="21"/>
    </row>
    <row r="842" spans="2:7" s="32" customFormat="1" x14ac:dyDescent="0.25">
      <c r="B842" s="39"/>
      <c r="D842" s="59"/>
      <c r="E842" s="68"/>
      <c r="F842" s="95"/>
      <c r="G842" s="21"/>
    </row>
    <row r="843" spans="2:7" s="32" customFormat="1" x14ac:dyDescent="0.25">
      <c r="B843" s="39"/>
      <c r="D843" s="59"/>
      <c r="E843" s="68"/>
      <c r="F843" s="95"/>
      <c r="G843" s="21"/>
    </row>
    <row r="844" spans="2:7" s="32" customFormat="1" x14ac:dyDescent="0.25">
      <c r="B844" s="39"/>
      <c r="D844" s="59"/>
      <c r="E844" s="68"/>
      <c r="F844" s="95"/>
      <c r="G844" s="21"/>
    </row>
    <row r="845" spans="2:7" s="32" customFormat="1" x14ac:dyDescent="0.25">
      <c r="B845" s="39"/>
      <c r="D845" s="59"/>
      <c r="E845" s="68"/>
      <c r="F845" s="95"/>
      <c r="G845" s="21"/>
    </row>
    <row r="846" spans="2:7" s="32" customFormat="1" x14ac:dyDescent="0.25">
      <c r="B846" s="39"/>
      <c r="D846" s="59"/>
      <c r="E846" s="68"/>
      <c r="F846" s="95"/>
      <c r="G846" s="21"/>
    </row>
    <row r="847" spans="2:7" s="32" customFormat="1" x14ac:dyDescent="0.25">
      <c r="B847" s="39"/>
      <c r="D847" s="59"/>
      <c r="E847" s="68"/>
      <c r="F847" s="95"/>
      <c r="G847" s="21"/>
    </row>
    <row r="848" spans="2:7" s="32" customFormat="1" x14ac:dyDescent="0.25">
      <c r="B848" s="39"/>
      <c r="D848" s="59"/>
      <c r="E848" s="68"/>
      <c r="F848" s="95"/>
      <c r="G848" s="21"/>
    </row>
    <row r="849" spans="2:7" s="32" customFormat="1" x14ac:dyDescent="0.25">
      <c r="B849" s="39"/>
      <c r="D849" s="59"/>
      <c r="E849" s="68"/>
      <c r="F849" s="95"/>
      <c r="G849" s="21"/>
    </row>
    <row r="850" spans="2:7" s="32" customFormat="1" x14ac:dyDescent="0.25">
      <c r="B850" s="39"/>
      <c r="D850" s="59"/>
      <c r="E850" s="68"/>
      <c r="F850" s="95"/>
      <c r="G850" s="21"/>
    </row>
    <row r="851" spans="2:7" s="32" customFormat="1" x14ac:dyDescent="0.25">
      <c r="B851" s="39"/>
      <c r="D851" s="59"/>
      <c r="E851" s="68"/>
      <c r="F851" s="95"/>
      <c r="G851" s="21"/>
    </row>
    <row r="852" spans="2:7" s="32" customFormat="1" x14ac:dyDescent="0.25">
      <c r="B852" s="39"/>
      <c r="D852" s="59"/>
      <c r="E852" s="68"/>
      <c r="F852" s="95"/>
      <c r="G852" s="21"/>
    </row>
    <row r="853" spans="2:7" s="32" customFormat="1" x14ac:dyDescent="0.25">
      <c r="B853" s="39"/>
      <c r="D853" s="59"/>
      <c r="E853" s="68"/>
      <c r="F853" s="95"/>
      <c r="G853" s="21"/>
    </row>
    <row r="854" spans="2:7" s="32" customFormat="1" x14ac:dyDescent="0.25">
      <c r="B854" s="39"/>
      <c r="D854" s="59"/>
      <c r="E854" s="68"/>
      <c r="F854" s="95"/>
      <c r="G854" s="21"/>
    </row>
    <row r="855" spans="2:7" s="32" customFormat="1" x14ac:dyDescent="0.25">
      <c r="B855" s="39"/>
      <c r="D855" s="59"/>
      <c r="E855" s="68"/>
      <c r="F855" s="95"/>
      <c r="G855" s="21"/>
    </row>
    <row r="856" spans="2:7" s="32" customFormat="1" x14ac:dyDescent="0.25">
      <c r="B856" s="39"/>
      <c r="D856" s="59"/>
      <c r="E856" s="68"/>
      <c r="F856" s="95"/>
      <c r="G856" s="21"/>
    </row>
    <row r="857" spans="2:7" s="32" customFormat="1" x14ac:dyDescent="0.25">
      <c r="B857" s="39"/>
      <c r="D857" s="59"/>
      <c r="E857" s="68"/>
      <c r="F857" s="95"/>
      <c r="G857" s="21"/>
    </row>
    <row r="858" spans="2:7" s="32" customFormat="1" x14ac:dyDescent="0.25">
      <c r="B858" s="39"/>
      <c r="D858" s="59"/>
      <c r="E858" s="68"/>
      <c r="F858" s="95"/>
      <c r="G858" s="21"/>
    </row>
    <row r="859" spans="2:7" s="32" customFormat="1" x14ac:dyDescent="0.25">
      <c r="B859" s="39"/>
      <c r="D859" s="59"/>
      <c r="E859" s="68"/>
      <c r="F859" s="95"/>
      <c r="G859" s="21"/>
    </row>
    <row r="860" spans="2:7" s="32" customFormat="1" x14ac:dyDescent="0.25">
      <c r="B860" s="39"/>
      <c r="D860" s="59"/>
      <c r="E860" s="68"/>
      <c r="F860" s="95"/>
      <c r="G860" s="21"/>
    </row>
    <row r="861" spans="2:7" s="32" customFormat="1" x14ac:dyDescent="0.25">
      <c r="B861" s="39"/>
      <c r="D861" s="59"/>
      <c r="E861" s="68"/>
      <c r="F861" s="95"/>
      <c r="G861" s="21"/>
    </row>
    <row r="862" spans="2:7" s="32" customFormat="1" x14ac:dyDescent="0.25">
      <c r="B862" s="39"/>
      <c r="D862" s="59"/>
      <c r="E862" s="68"/>
      <c r="F862" s="95"/>
      <c r="G862" s="21"/>
    </row>
    <row r="863" spans="2:7" s="32" customFormat="1" x14ac:dyDescent="0.25">
      <c r="B863" s="39"/>
      <c r="D863" s="59"/>
      <c r="E863" s="68"/>
      <c r="F863" s="95"/>
      <c r="G863" s="21"/>
    </row>
    <row r="864" spans="2:7" s="32" customFormat="1" x14ac:dyDescent="0.25">
      <c r="B864" s="39"/>
      <c r="D864" s="59"/>
      <c r="E864" s="68"/>
      <c r="F864" s="95"/>
      <c r="G864" s="21"/>
    </row>
    <row r="865" spans="2:7" s="32" customFormat="1" x14ac:dyDescent="0.25">
      <c r="B865" s="39"/>
      <c r="D865" s="59"/>
      <c r="E865" s="68"/>
      <c r="F865" s="95"/>
      <c r="G865" s="21"/>
    </row>
    <row r="866" spans="2:7" s="32" customFormat="1" x14ac:dyDescent="0.25">
      <c r="B866" s="39"/>
      <c r="D866" s="59"/>
      <c r="E866" s="68"/>
      <c r="F866" s="95"/>
      <c r="G866" s="21"/>
    </row>
    <row r="867" spans="2:7" s="32" customFormat="1" x14ac:dyDescent="0.25">
      <c r="B867" s="39"/>
      <c r="D867" s="59"/>
      <c r="E867" s="68"/>
      <c r="F867" s="95"/>
      <c r="G867" s="21"/>
    </row>
    <row r="868" spans="2:7" s="32" customFormat="1" x14ac:dyDescent="0.25">
      <c r="B868" s="39"/>
      <c r="D868" s="59"/>
      <c r="E868" s="68"/>
      <c r="F868" s="95"/>
      <c r="G868" s="21"/>
    </row>
    <row r="869" spans="2:7" s="32" customFormat="1" x14ac:dyDescent="0.25">
      <c r="B869" s="39"/>
      <c r="D869" s="59"/>
      <c r="E869" s="68"/>
      <c r="F869" s="95"/>
      <c r="G869" s="21"/>
    </row>
    <row r="870" spans="2:7" s="32" customFormat="1" x14ac:dyDescent="0.25">
      <c r="B870" s="39"/>
      <c r="D870" s="59"/>
      <c r="E870" s="68"/>
      <c r="F870" s="95"/>
      <c r="G870" s="21"/>
    </row>
    <row r="871" spans="2:7" s="32" customFormat="1" x14ac:dyDescent="0.25">
      <c r="B871" s="39"/>
      <c r="D871" s="59"/>
      <c r="E871" s="68"/>
      <c r="F871" s="95"/>
      <c r="G871" s="21"/>
    </row>
    <row r="872" spans="2:7" s="32" customFormat="1" x14ac:dyDescent="0.25">
      <c r="B872" s="39"/>
      <c r="D872" s="59"/>
      <c r="E872" s="68"/>
      <c r="F872" s="95"/>
      <c r="G872" s="21"/>
    </row>
    <row r="873" spans="2:7" s="32" customFormat="1" x14ac:dyDescent="0.25">
      <c r="B873" s="39"/>
      <c r="D873" s="59"/>
      <c r="E873" s="68"/>
      <c r="F873" s="95"/>
      <c r="G873" s="21"/>
    </row>
    <row r="874" spans="2:7" s="32" customFormat="1" x14ac:dyDescent="0.25">
      <c r="B874" s="39"/>
      <c r="D874" s="59"/>
      <c r="E874" s="68"/>
      <c r="F874" s="95"/>
      <c r="G874" s="21"/>
    </row>
    <row r="875" spans="2:7" s="32" customFormat="1" x14ac:dyDescent="0.25">
      <c r="B875" s="39"/>
      <c r="D875" s="59"/>
      <c r="E875" s="68"/>
      <c r="F875" s="95"/>
      <c r="G875" s="21"/>
    </row>
    <row r="876" spans="2:7" s="32" customFormat="1" x14ac:dyDescent="0.25">
      <c r="B876" s="39"/>
      <c r="D876" s="59"/>
      <c r="E876" s="68"/>
      <c r="F876" s="95"/>
      <c r="G876" s="21"/>
    </row>
    <row r="877" spans="2:7" s="32" customFormat="1" x14ac:dyDescent="0.25">
      <c r="B877" s="39"/>
      <c r="D877" s="59"/>
      <c r="E877" s="68"/>
      <c r="F877" s="95"/>
      <c r="G877" s="21"/>
    </row>
    <row r="878" spans="2:7" s="32" customFormat="1" x14ac:dyDescent="0.25">
      <c r="B878" s="39"/>
      <c r="D878" s="59"/>
      <c r="E878" s="68"/>
      <c r="F878" s="95"/>
      <c r="G878" s="21"/>
    </row>
    <row r="879" spans="2:7" s="32" customFormat="1" x14ac:dyDescent="0.25">
      <c r="B879" s="39"/>
      <c r="D879" s="59"/>
      <c r="E879" s="68"/>
      <c r="F879" s="95"/>
      <c r="G879" s="21"/>
    </row>
    <row r="880" spans="2:7" s="32" customFormat="1" x14ac:dyDescent="0.25">
      <c r="B880" s="39"/>
      <c r="D880" s="59"/>
      <c r="E880" s="68"/>
      <c r="F880" s="95"/>
      <c r="G880" s="21"/>
    </row>
    <row r="881" spans="2:7" s="32" customFormat="1" x14ac:dyDescent="0.25">
      <c r="B881" s="39"/>
      <c r="D881" s="59"/>
      <c r="E881" s="68"/>
      <c r="F881" s="95"/>
      <c r="G881" s="21"/>
    </row>
    <row r="882" spans="2:7" s="32" customFormat="1" x14ac:dyDescent="0.25">
      <c r="B882" s="39"/>
      <c r="D882" s="59"/>
      <c r="E882" s="68"/>
      <c r="F882" s="95"/>
      <c r="G882" s="21"/>
    </row>
    <row r="883" spans="2:7" s="32" customFormat="1" x14ac:dyDescent="0.25">
      <c r="B883" s="39"/>
      <c r="D883" s="59"/>
      <c r="E883" s="68"/>
      <c r="F883" s="95"/>
      <c r="G883" s="21"/>
    </row>
    <row r="884" spans="2:7" s="32" customFormat="1" x14ac:dyDescent="0.25">
      <c r="B884" s="39"/>
      <c r="D884" s="59"/>
      <c r="E884" s="68"/>
      <c r="F884" s="95"/>
      <c r="G884" s="21"/>
    </row>
    <row r="885" spans="2:7" s="32" customFormat="1" x14ac:dyDescent="0.25">
      <c r="B885" s="39"/>
      <c r="D885" s="59"/>
      <c r="E885" s="68"/>
      <c r="F885" s="95"/>
      <c r="G885" s="21"/>
    </row>
    <row r="886" spans="2:7" s="32" customFormat="1" x14ac:dyDescent="0.25">
      <c r="B886" s="39"/>
      <c r="D886" s="59"/>
      <c r="E886" s="68"/>
      <c r="F886" s="95"/>
      <c r="G886" s="21"/>
    </row>
    <row r="887" spans="2:7" s="32" customFormat="1" x14ac:dyDescent="0.25">
      <c r="B887" s="39"/>
      <c r="D887" s="59"/>
      <c r="E887" s="68"/>
      <c r="F887" s="95"/>
      <c r="G887" s="21"/>
    </row>
    <row r="888" spans="2:7" s="32" customFormat="1" x14ac:dyDescent="0.25">
      <c r="B888" s="39"/>
      <c r="D888" s="59"/>
      <c r="E888" s="68"/>
      <c r="F888" s="95"/>
      <c r="G888" s="21"/>
    </row>
    <row r="889" spans="2:7" s="32" customFormat="1" x14ac:dyDescent="0.25">
      <c r="B889" s="39"/>
      <c r="D889" s="59"/>
      <c r="E889" s="68"/>
      <c r="F889" s="95"/>
      <c r="G889" s="21"/>
    </row>
    <row r="890" spans="2:7" s="32" customFormat="1" x14ac:dyDescent="0.25">
      <c r="B890" s="39"/>
      <c r="D890" s="59"/>
      <c r="E890" s="68"/>
      <c r="F890" s="95"/>
      <c r="G890" s="21"/>
    </row>
    <row r="891" spans="2:7" s="32" customFormat="1" x14ac:dyDescent="0.25">
      <c r="B891" s="39"/>
      <c r="D891" s="59"/>
      <c r="E891" s="68"/>
      <c r="F891" s="95"/>
      <c r="G891" s="21"/>
    </row>
    <row r="892" spans="2:7" s="32" customFormat="1" x14ac:dyDescent="0.25">
      <c r="B892" s="39"/>
      <c r="D892" s="59"/>
      <c r="E892" s="68"/>
      <c r="F892" s="95"/>
      <c r="G892" s="21"/>
    </row>
    <row r="893" spans="2:7" s="32" customFormat="1" x14ac:dyDescent="0.25">
      <c r="B893" s="39"/>
      <c r="D893" s="59"/>
      <c r="E893" s="68"/>
      <c r="F893" s="95"/>
      <c r="G893" s="21"/>
    </row>
    <row r="894" spans="2:7" s="32" customFormat="1" x14ac:dyDescent="0.25">
      <c r="B894" s="39"/>
      <c r="D894" s="59"/>
      <c r="E894" s="68"/>
      <c r="F894" s="95"/>
      <c r="G894" s="21"/>
    </row>
    <row r="895" spans="2:7" s="32" customFormat="1" x14ac:dyDescent="0.25">
      <c r="B895" s="39"/>
      <c r="D895" s="59"/>
      <c r="E895" s="68"/>
      <c r="F895" s="95"/>
      <c r="G895" s="21"/>
    </row>
    <row r="896" spans="2:7" s="32" customFormat="1" x14ac:dyDescent="0.25">
      <c r="B896" s="39"/>
      <c r="D896" s="59"/>
      <c r="E896" s="68"/>
      <c r="F896" s="95"/>
      <c r="G896" s="21"/>
    </row>
    <row r="897" spans="2:7" s="32" customFormat="1" x14ac:dyDescent="0.25">
      <c r="B897" s="39"/>
      <c r="D897" s="59"/>
      <c r="E897" s="68"/>
      <c r="F897" s="95"/>
      <c r="G897" s="21"/>
    </row>
    <row r="898" spans="2:7" s="32" customFormat="1" x14ac:dyDescent="0.25">
      <c r="B898" s="39"/>
      <c r="D898" s="59"/>
      <c r="E898" s="68"/>
      <c r="F898" s="95"/>
      <c r="G898" s="21"/>
    </row>
    <row r="899" spans="2:7" s="32" customFormat="1" x14ac:dyDescent="0.25">
      <c r="B899" s="39"/>
      <c r="D899" s="59"/>
      <c r="E899" s="68"/>
      <c r="F899" s="95"/>
      <c r="G899" s="21"/>
    </row>
    <row r="900" spans="2:7" s="32" customFormat="1" x14ac:dyDescent="0.25">
      <c r="B900" s="39"/>
      <c r="D900" s="59"/>
      <c r="E900" s="68"/>
      <c r="F900" s="95"/>
      <c r="G900" s="21"/>
    </row>
    <row r="901" spans="2:7" s="32" customFormat="1" x14ac:dyDescent="0.25">
      <c r="B901" s="39"/>
      <c r="D901" s="59"/>
      <c r="E901" s="68"/>
      <c r="F901" s="95"/>
      <c r="G901" s="21"/>
    </row>
    <row r="902" spans="2:7" s="32" customFormat="1" x14ac:dyDescent="0.25">
      <c r="B902" s="39"/>
      <c r="D902" s="59"/>
      <c r="E902" s="68"/>
      <c r="F902" s="95"/>
      <c r="G902" s="21"/>
    </row>
    <row r="903" spans="2:7" s="32" customFormat="1" x14ac:dyDescent="0.25">
      <c r="B903" s="39"/>
      <c r="D903" s="59"/>
      <c r="E903" s="68"/>
      <c r="F903" s="95"/>
      <c r="G903" s="21"/>
    </row>
  </sheetData>
  <mergeCells count="12">
    <mergeCell ref="B6:E6"/>
    <mergeCell ref="B1:F1"/>
    <mergeCell ref="A2:F2"/>
    <mergeCell ref="A3:F3"/>
    <mergeCell ref="B4:E4"/>
    <mergeCell ref="A5:F5"/>
    <mergeCell ref="A11:F11"/>
    <mergeCell ref="B12:E12"/>
    <mergeCell ref="A7:F7"/>
    <mergeCell ref="B8:E8"/>
    <mergeCell ref="A9:F9"/>
    <mergeCell ref="B10:E10"/>
  </mergeCells>
  <pageMargins left="0.51181102362204722" right="0.39370078740157483" top="0.94488188976377963" bottom="0.74803149606299213" header="0.23622047244094491" footer="0.31496062992125984"/>
  <pageSetup paperSize="9" firstPageNumber="35"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E - Summaryt</oddHeader>
    <oddFooter>&amp;L&amp;"Arial,Regular"&amp;9Bill of Quantities&amp;R&amp;"Arial,Regular"&amp;9BOQ.&amp;P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2E897-0791-46C9-B10A-0908E1EC85D4}">
  <dimension ref="A1:K1456"/>
  <sheetViews>
    <sheetView view="pageBreakPreview" topLeftCell="A226" zoomScale="115" zoomScaleNormal="115" zoomScaleSheetLayoutView="115" workbookViewId="0">
      <selection activeCell="D244" sqref="D244"/>
    </sheetView>
  </sheetViews>
  <sheetFormatPr defaultColWidth="9.140625" defaultRowHeight="12" x14ac:dyDescent="0.25"/>
  <cols>
    <col min="1" max="1" width="7.7109375" style="315" customWidth="1"/>
    <col min="2" max="2" width="9.140625" style="315" customWidth="1"/>
    <col min="3" max="3" width="35.140625" style="327" customWidth="1"/>
    <col min="4" max="4" width="5.28515625" style="315" customWidth="1"/>
    <col min="5" max="5" width="5.28515625" style="321" customWidth="1"/>
    <col min="6" max="6" width="12.7109375" style="322" customWidth="1"/>
    <col min="7" max="7" width="18.140625" style="315" customWidth="1"/>
    <col min="8" max="8" width="24.5703125" style="21" customWidth="1"/>
    <col min="9" max="9" width="11" style="21" bestFit="1" customWidth="1"/>
    <col min="10" max="16384" width="9.140625" style="21"/>
  </cols>
  <sheetData>
    <row r="1" spans="1:7" ht="15" customHeight="1" x14ac:dyDescent="0.25">
      <c r="A1" s="29"/>
      <c r="B1" s="30"/>
      <c r="C1" s="528" t="s">
        <v>616</v>
      </c>
      <c r="D1" s="528"/>
      <c r="E1" s="528"/>
      <c r="F1" s="528"/>
      <c r="G1" s="529"/>
    </row>
    <row r="2" spans="1:7" ht="27.75" customHeight="1" x14ac:dyDescent="0.25">
      <c r="A2" s="73" t="s">
        <v>91</v>
      </c>
      <c r="B2" s="31" t="s">
        <v>21</v>
      </c>
      <c r="C2" s="148" t="s">
        <v>0</v>
      </c>
      <c r="D2" s="73" t="s">
        <v>1</v>
      </c>
      <c r="E2" s="74" t="s">
        <v>22</v>
      </c>
      <c r="F2" s="63" t="s">
        <v>2</v>
      </c>
      <c r="G2" s="73" t="s">
        <v>77</v>
      </c>
    </row>
    <row r="3" spans="1:7" ht="15" customHeight="1" x14ac:dyDescent="0.25">
      <c r="A3" s="422"/>
      <c r="B3" s="406"/>
      <c r="C3" s="408"/>
      <c r="D3" s="408"/>
      <c r="E3" s="409"/>
      <c r="F3" s="423"/>
      <c r="G3" s="408"/>
    </row>
    <row r="4" spans="1:7" ht="24" x14ac:dyDescent="0.25">
      <c r="A4" s="312" t="s">
        <v>1409</v>
      </c>
      <c r="B4" s="293"/>
      <c r="C4" s="284" t="s">
        <v>391</v>
      </c>
      <c r="D4" s="206"/>
      <c r="E4" s="359"/>
      <c r="F4" s="294"/>
      <c r="G4" s="206"/>
    </row>
    <row r="5" spans="1:7" ht="15" customHeight="1" x14ac:dyDescent="0.25">
      <c r="A5" s="424"/>
      <c r="B5" s="412"/>
      <c r="C5" s="205"/>
      <c r="D5" s="205"/>
      <c r="E5" s="425"/>
      <c r="F5" s="426"/>
      <c r="G5" s="205"/>
    </row>
    <row r="6" spans="1:7" ht="24" x14ac:dyDescent="0.25">
      <c r="A6" s="313" t="s">
        <v>1415</v>
      </c>
      <c r="B6" s="227" t="s">
        <v>14</v>
      </c>
      <c r="C6" s="271" t="s">
        <v>241</v>
      </c>
      <c r="D6" s="206"/>
      <c r="E6" s="211"/>
      <c r="F6" s="234"/>
      <c r="G6" s="232"/>
    </row>
    <row r="7" spans="1:7" ht="15" customHeight="1" x14ac:dyDescent="0.25">
      <c r="A7" s="424"/>
      <c r="B7" s="412"/>
      <c r="C7" s="205"/>
      <c r="D7" s="205"/>
      <c r="E7" s="425"/>
      <c r="F7" s="426"/>
      <c r="G7" s="205"/>
    </row>
    <row r="8" spans="1:7" ht="24" x14ac:dyDescent="0.25">
      <c r="A8" s="108" t="s">
        <v>1416</v>
      </c>
      <c r="B8" s="246"/>
      <c r="C8" s="119" t="s">
        <v>392</v>
      </c>
      <c r="D8" s="142" t="s">
        <v>87</v>
      </c>
      <c r="E8" s="211">
        <f>ROUND(6.5*15,1)</f>
        <v>97.5</v>
      </c>
      <c r="F8" s="234"/>
      <c r="G8" s="232"/>
    </row>
    <row r="9" spans="1:7" x14ac:dyDescent="0.25">
      <c r="A9" s="424"/>
      <c r="B9" s="412"/>
      <c r="C9" s="205"/>
      <c r="D9" s="205"/>
      <c r="E9" s="425"/>
      <c r="F9" s="426"/>
      <c r="G9" s="205"/>
    </row>
    <row r="10" spans="1:7" ht="36" x14ac:dyDescent="0.25">
      <c r="A10" s="108" t="s">
        <v>1417</v>
      </c>
      <c r="B10" s="246"/>
      <c r="C10" s="233" t="s">
        <v>496</v>
      </c>
      <c r="D10" s="142" t="s">
        <v>87</v>
      </c>
      <c r="E10" s="211">
        <f>E8</f>
        <v>97.5</v>
      </c>
      <c r="F10" s="234"/>
      <c r="G10" s="232"/>
    </row>
    <row r="11" spans="1:7" ht="11.85" customHeight="1" x14ac:dyDescent="0.25">
      <c r="A11" s="424"/>
      <c r="B11" s="412"/>
      <c r="C11" s="205"/>
      <c r="D11" s="205"/>
      <c r="E11" s="425"/>
      <c r="F11" s="426"/>
      <c r="G11" s="205"/>
    </row>
    <row r="12" spans="1:7" ht="36" x14ac:dyDescent="0.25">
      <c r="A12" s="108" t="s">
        <v>1418</v>
      </c>
      <c r="B12" s="214" t="s">
        <v>2184</v>
      </c>
      <c r="C12" s="119" t="s">
        <v>498</v>
      </c>
      <c r="D12" s="210" t="s">
        <v>28</v>
      </c>
      <c r="E12" s="211">
        <v>1</v>
      </c>
      <c r="F12" s="234"/>
      <c r="G12" s="232"/>
    </row>
    <row r="13" spans="1:7" ht="11.85" customHeight="1" x14ac:dyDescent="0.25">
      <c r="A13" s="424"/>
      <c r="B13" s="412"/>
      <c r="C13" s="205"/>
      <c r="D13" s="205"/>
      <c r="E13" s="425"/>
      <c r="F13" s="426"/>
      <c r="G13" s="205"/>
    </row>
    <row r="14" spans="1:7" ht="24" x14ac:dyDescent="0.25">
      <c r="A14" s="231" t="s">
        <v>1419</v>
      </c>
      <c r="B14" s="227" t="s">
        <v>244</v>
      </c>
      <c r="C14" s="218" t="s">
        <v>9</v>
      </c>
      <c r="D14" s="229"/>
      <c r="E14" s="295"/>
      <c r="F14" s="242"/>
      <c r="G14" s="290"/>
    </row>
    <row r="15" spans="1:7" ht="11.85" customHeight="1" x14ac:dyDescent="0.25">
      <c r="A15" s="424"/>
      <c r="B15" s="412"/>
      <c r="C15" s="205"/>
      <c r="D15" s="205"/>
      <c r="E15" s="425"/>
      <c r="F15" s="426"/>
      <c r="G15" s="205"/>
    </row>
    <row r="16" spans="1:7" ht="48" x14ac:dyDescent="0.25">
      <c r="A16" s="108" t="s">
        <v>1420</v>
      </c>
      <c r="B16" s="214" t="s">
        <v>18</v>
      </c>
      <c r="C16" s="233" t="s">
        <v>945</v>
      </c>
      <c r="D16" s="142" t="s">
        <v>88</v>
      </c>
      <c r="E16" s="211">
        <f>+ROUND((E10*0.8)+(16.216*3)+(1.44*0.5),1)</f>
        <v>127.4</v>
      </c>
      <c r="F16" s="274"/>
      <c r="G16" s="255"/>
    </row>
    <row r="17" spans="1:7" ht="11.85" customHeight="1" x14ac:dyDescent="0.25">
      <c r="A17" s="424"/>
      <c r="B17" s="412"/>
      <c r="C17" s="205"/>
      <c r="D17" s="205"/>
      <c r="E17" s="425"/>
      <c r="F17" s="426"/>
      <c r="G17" s="205"/>
    </row>
    <row r="18" spans="1:7" ht="11.85" customHeight="1" x14ac:dyDescent="0.25">
      <c r="A18" s="108"/>
      <c r="B18" s="214"/>
      <c r="C18" s="465" t="s">
        <v>2185</v>
      </c>
      <c r="D18" s="142"/>
      <c r="E18" s="211"/>
      <c r="F18" s="270"/>
      <c r="G18" s="207"/>
    </row>
    <row r="19" spans="1:7" ht="11.85" customHeight="1" x14ac:dyDescent="0.25">
      <c r="A19" s="424"/>
      <c r="B19" s="412"/>
      <c r="C19" s="205"/>
      <c r="D19" s="205"/>
      <c r="E19" s="425"/>
      <c r="F19" s="426"/>
      <c r="G19" s="205"/>
    </row>
    <row r="20" spans="1:7" ht="11.85" customHeight="1" x14ac:dyDescent="0.25">
      <c r="A20" s="108" t="s">
        <v>1421</v>
      </c>
      <c r="B20" s="214"/>
      <c r="C20" s="235" t="s">
        <v>304</v>
      </c>
      <c r="D20" s="142" t="s">
        <v>88</v>
      </c>
      <c r="E20" s="211">
        <f>+ROUND(30%*E16,1)</f>
        <v>38.200000000000003</v>
      </c>
      <c r="F20" s="274"/>
      <c r="G20" s="255"/>
    </row>
    <row r="21" spans="1:7" ht="11.85" customHeight="1" x14ac:dyDescent="0.25">
      <c r="A21" s="424"/>
      <c r="B21" s="412"/>
      <c r="C21" s="205"/>
      <c r="D21" s="205"/>
      <c r="E21" s="425"/>
      <c r="F21" s="426"/>
      <c r="G21" s="205"/>
    </row>
    <row r="22" spans="1:7" ht="11.85" customHeight="1" x14ac:dyDescent="0.25">
      <c r="A22" s="108" t="s">
        <v>1422</v>
      </c>
      <c r="B22" s="214"/>
      <c r="C22" s="235" t="s">
        <v>396</v>
      </c>
      <c r="D22" s="142" t="s">
        <v>88</v>
      </c>
      <c r="E22" s="211">
        <f>+ROUND(7.5%*E16,1)</f>
        <v>9.6</v>
      </c>
      <c r="F22" s="274"/>
      <c r="G22" s="255"/>
    </row>
    <row r="23" spans="1:7" ht="11.85" customHeight="1" x14ac:dyDescent="0.25">
      <c r="A23" s="424"/>
      <c r="B23" s="412"/>
      <c r="C23" s="205"/>
      <c r="D23" s="205"/>
      <c r="E23" s="425"/>
      <c r="F23" s="426"/>
      <c r="G23" s="205"/>
    </row>
    <row r="24" spans="1:7" ht="60" x14ac:dyDescent="0.25">
      <c r="A24" s="108" t="s">
        <v>1423</v>
      </c>
      <c r="B24" s="214" t="s">
        <v>83</v>
      </c>
      <c r="C24" s="119" t="s">
        <v>944</v>
      </c>
      <c r="D24" s="142" t="s">
        <v>88</v>
      </c>
      <c r="E24" s="211">
        <f>+ROUND(4*13*0.3,1)</f>
        <v>15.6</v>
      </c>
      <c r="F24" s="274"/>
      <c r="G24" s="255"/>
    </row>
    <row r="25" spans="1:7" ht="11.85" customHeight="1" x14ac:dyDescent="0.25">
      <c r="A25" s="424"/>
      <c r="B25" s="412"/>
      <c r="C25" s="205"/>
      <c r="D25" s="205"/>
      <c r="E25" s="425"/>
      <c r="F25" s="426"/>
      <c r="G25" s="205"/>
    </row>
    <row r="26" spans="1:7" ht="36" x14ac:dyDescent="0.25">
      <c r="A26" s="108" t="s">
        <v>1424</v>
      </c>
      <c r="B26" s="214" t="s">
        <v>398</v>
      </c>
      <c r="C26" s="233" t="s">
        <v>857</v>
      </c>
      <c r="D26" s="142" t="s">
        <v>28</v>
      </c>
      <c r="E26" s="211">
        <v>1</v>
      </c>
      <c r="F26" s="274"/>
      <c r="G26" s="255"/>
    </row>
    <row r="27" spans="1:7" x14ac:dyDescent="0.25">
      <c r="A27" s="424"/>
      <c r="B27" s="412"/>
      <c r="C27" s="205"/>
      <c r="D27" s="205"/>
      <c r="E27" s="425"/>
      <c r="F27" s="426"/>
      <c r="G27" s="205"/>
    </row>
    <row r="28" spans="1:7" ht="36" x14ac:dyDescent="0.25">
      <c r="A28" s="108" t="s">
        <v>1425</v>
      </c>
      <c r="B28" s="214" t="s">
        <v>563</v>
      </c>
      <c r="C28" s="119" t="s">
        <v>790</v>
      </c>
      <c r="D28" s="210" t="s">
        <v>88</v>
      </c>
      <c r="E28" s="219">
        <f>E24</f>
        <v>15.6</v>
      </c>
      <c r="F28" s="274"/>
      <c r="G28" s="255"/>
    </row>
    <row r="29" spans="1:7" ht="11.25" customHeight="1" x14ac:dyDescent="0.25">
      <c r="A29" s="424"/>
      <c r="B29" s="412"/>
      <c r="C29" s="205"/>
      <c r="D29" s="205"/>
      <c r="E29" s="425"/>
      <c r="F29" s="426"/>
      <c r="G29" s="205"/>
    </row>
    <row r="30" spans="1:7" x14ac:dyDescent="0.25">
      <c r="A30" s="108"/>
      <c r="B30" s="256"/>
      <c r="C30" s="297"/>
      <c r="D30" s="290"/>
      <c r="E30" s="241"/>
      <c r="F30" s="242"/>
      <c r="G30" s="290"/>
    </row>
    <row r="31" spans="1:7" ht="11.85" customHeight="1" x14ac:dyDescent="0.25">
      <c r="A31" s="424"/>
      <c r="B31" s="412"/>
      <c r="C31" s="205"/>
      <c r="D31" s="205"/>
      <c r="E31" s="425"/>
      <c r="F31" s="426"/>
      <c r="G31" s="205"/>
    </row>
    <row r="32" spans="1:7" ht="11.85" customHeight="1" x14ac:dyDescent="0.25">
      <c r="A32" s="108"/>
      <c r="B32" s="256"/>
      <c r="C32" s="297"/>
      <c r="D32" s="290"/>
      <c r="E32" s="241"/>
      <c r="F32" s="242"/>
      <c r="G32" s="290"/>
    </row>
    <row r="33" spans="1:7" ht="11.85" customHeight="1" x14ac:dyDescent="0.25">
      <c r="A33" s="424"/>
      <c r="B33" s="412"/>
      <c r="C33" s="205"/>
      <c r="D33" s="205"/>
      <c r="E33" s="425"/>
      <c r="F33" s="426"/>
      <c r="G33" s="205"/>
    </row>
    <row r="34" spans="1:7" ht="11.85" customHeight="1" x14ac:dyDescent="0.25">
      <c r="A34" s="108"/>
      <c r="B34" s="256"/>
      <c r="C34" s="297"/>
      <c r="D34" s="290"/>
      <c r="E34" s="241"/>
      <c r="F34" s="242"/>
      <c r="G34" s="290"/>
    </row>
    <row r="35" spans="1:7" ht="11.85" customHeight="1" x14ac:dyDescent="0.25">
      <c r="A35" s="424"/>
      <c r="B35" s="412"/>
      <c r="C35" s="205"/>
      <c r="D35" s="205"/>
      <c r="E35" s="425"/>
      <c r="F35" s="426"/>
      <c r="G35" s="205"/>
    </row>
    <row r="36" spans="1:7" ht="11.85" customHeight="1" x14ac:dyDescent="0.25">
      <c r="A36" s="108"/>
      <c r="B36" s="256"/>
      <c r="C36" s="297"/>
      <c r="D36" s="290"/>
      <c r="E36" s="241"/>
      <c r="F36" s="242"/>
      <c r="G36" s="290"/>
    </row>
    <row r="37" spans="1:7" ht="11.85" customHeight="1" x14ac:dyDescent="0.25">
      <c r="A37" s="424"/>
      <c r="B37" s="412"/>
      <c r="C37" s="205"/>
      <c r="D37" s="205"/>
      <c r="E37" s="425"/>
      <c r="F37" s="426"/>
      <c r="G37" s="205"/>
    </row>
    <row r="38" spans="1:7" ht="11.85" customHeight="1" x14ac:dyDescent="0.25">
      <c r="A38" s="108"/>
      <c r="B38" s="256"/>
      <c r="C38" s="297"/>
      <c r="D38" s="290"/>
      <c r="E38" s="241"/>
      <c r="F38" s="242"/>
      <c r="G38" s="290"/>
    </row>
    <row r="39" spans="1:7" ht="28.5" customHeight="1" x14ac:dyDescent="0.25">
      <c r="A39" s="526" t="s">
        <v>609</v>
      </c>
      <c r="B39" s="526"/>
      <c r="C39" s="526"/>
      <c r="D39" s="526"/>
      <c r="E39" s="526"/>
      <c r="F39" s="526"/>
      <c r="G39" s="158"/>
    </row>
    <row r="40" spans="1:7" ht="28.5" customHeight="1" x14ac:dyDescent="0.25">
      <c r="A40" s="526" t="s">
        <v>610</v>
      </c>
      <c r="B40" s="526"/>
      <c r="C40" s="526"/>
      <c r="D40" s="526"/>
      <c r="E40" s="526"/>
      <c r="F40" s="526"/>
      <c r="G40" s="158"/>
    </row>
    <row r="41" spans="1:7" ht="11.85" customHeight="1" x14ac:dyDescent="0.25">
      <c r="A41" s="424"/>
      <c r="B41" s="412"/>
      <c r="C41" s="205"/>
      <c r="D41" s="205"/>
      <c r="E41" s="425"/>
      <c r="F41" s="426"/>
      <c r="G41" s="205"/>
    </row>
    <row r="42" spans="1:7" ht="24" x14ac:dyDescent="0.25">
      <c r="A42" s="231" t="s">
        <v>1426</v>
      </c>
      <c r="B42" s="207" t="s">
        <v>148</v>
      </c>
      <c r="C42" s="38" t="s">
        <v>422</v>
      </c>
      <c r="D42" s="215"/>
      <c r="E42" s="216"/>
      <c r="F42" s="215"/>
      <c r="G42" s="217"/>
    </row>
    <row r="43" spans="1:7" ht="11.85" customHeight="1" x14ac:dyDescent="0.25">
      <c r="A43" s="424"/>
      <c r="B43" s="412"/>
      <c r="C43" s="205"/>
      <c r="D43" s="205"/>
      <c r="E43" s="425"/>
      <c r="F43" s="426"/>
      <c r="G43" s="205"/>
    </row>
    <row r="44" spans="1:7" ht="11.85" customHeight="1" x14ac:dyDescent="0.25">
      <c r="A44" s="108"/>
      <c r="B44" s="206">
        <v>8.1999999999999993</v>
      </c>
      <c r="C44" s="218" t="s">
        <v>149</v>
      </c>
      <c r="D44" s="142"/>
      <c r="E44" s="295"/>
      <c r="F44" s="229"/>
      <c r="G44" s="232"/>
    </row>
    <row r="45" spans="1:7" ht="11.85" customHeight="1" x14ac:dyDescent="0.25">
      <c r="A45" s="424"/>
      <c r="B45" s="412"/>
      <c r="C45" s="205"/>
      <c r="D45" s="205"/>
      <c r="E45" s="425"/>
      <c r="F45" s="426"/>
      <c r="G45" s="205"/>
    </row>
    <row r="46" spans="1:7" ht="11.85" customHeight="1" x14ac:dyDescent="0.25">
      <c r="A46" s="108"/>
      <c r="B46" s="206"/>
      <c r="C46" s="154" t="s">
        <v>172</v>
      </c>
      <c r="D46" s="142"/>
      <c r="E46" s="211"/>
      <c r="F46" s="234"/>
      <c r="G46" s="232"/>
    </row>
    <row r="47" spans="1:7" ht="11.85" customHeight="1" x14ac:dyDescent="0.25">
      <c r="A47" s="424"/>
      <c r="B47" s="412"/>
      <c r="C47" s="205"/>
      <c r="D47" s="205"/>
      <c r="E47" s="425"/>
      <c r="F47" s="426"/>
      <c r="G47" s="205"/>
    </row>
    <row r="48" spans="1:7" ht="11.85" customHeight="1" x14ac:dyDescent="0.25">
      <c r="A48" s="108"/>
      <c r="B48" s="273" t="s">
        <v>5</v>
      </c>
      <c r="C48" s="257" t="s">
        <v>943</v>
      </c>
      <c r="D48" s="142"/>
      <c r="E48" s="211"/>
      <c r="F48" s="234"/>
      <c r="G48" s="232"/>
    </row>
    <row r="49" spans="1:7" ht="11.85" customHeight="1" x14ac:dyDescent="0.25">
      <c r="A49" s="424"/>
      <c r="B49" s="412"/>
      <c r="C49" s="205"/>
      <c r="D49" s="205"/>
      <c r="E49" s="425"/>
      <c r="F49" s="426"/>
      <c r="G49" s="205"/>
    </row>
    <row r="50" spans="1:7" ht="11.85" customHeight="1" x14ac:dyDescent="0.25">
      <c r="A50" s="108" t="s">
        <v>1427</v>
      </c>
      <c r="B50" s="142"/>
      <c r="C50" s="233" t="s">
        <v>503</v>
      </c>
      <c r="D50" s="142" t="s">
        <v>87</v>
      </c>
      <c r="E50" s="241">
        <f>ROUND(1.2*0.4*4*8,1)</f>
        <v>15.4</v>
      </c>
      <c r="F50" s="234"/>
      <c r="G50" s="232"/>
    </row>
    <row r="51" spans="1:7" ht="11.85" customHeight="1" x14ac:dyDescent="0.25">
      <c r="A51" s="424"/>
      <c r="B51" s="412"/>
      <c r="C51" s="205"/>
      <c r="D51" s="205"/>
      <c r="E51" s="425"/>
      <c r="F51" s="426"/>
      <c r="G51" s="205"/>
    </row>
    <row r="52" spans="1:7" ht="11.85" customHeight="1" x14ac:dyDescent="0.25">
      <c r="A52" s="108" t="s">
        <v>1428</v>
      </c>
      <c r="B52" s="142"/>
      <c r="C52" s="233" t="s">
        <v>504</v>
      </c>
      <c r="D52" s="142" t="s">
        <v>87</v>
      </c>
      <c r="E52" s="241">
        <f>+ROUND((3.78*2.5*12)+(34.58*2.5),1)</f>
        <v>199.9</v>
      </c>
      <c r="F52" s="234"/>
      <c r="G52" s="232"/>
    </row>
    <row r="53" spans="1:7" ht="11.85" customHeight="1" x14ac:dyDescent="0.25">
      <c r="A53" s="424"/>
      <c r="B53" s="412"/>
      <c r="C53" s="205"/>
      <c r="D53" s="205"/>
      <c r="E53" s="425"/>
      <c r="F53" s="426"/>
      <c r="G53" s="205"/>
    </row>
    <row r="54" spans="1:7" ht="11.85" customHeight="1" x14ac:dyDescent="0.25">
      <c r="A54" s="108"/>
      <c r="B54" s="273" t="s">
        <v>7</v>
      </c>
      <c r="C54" s="257" t="s">
        <v>150</v>
      </c>
      <c r="D54" s="290"/>
      <c r="E54" s="241"/>
      <c r="F54" s="234"/>
      <c r="G54" s="232"/>
    </row>
    <row r="55" spans="1:7" ht="11.85" customHeight="1" x14ac:dyDescent="0.25">
      <c r="A55" s="424"/>
      <c r="B55" s="412"/>
      <c r="C55" s="205"/>
      <c r="D55" s="205"/>
      <c r="E55" s="425"/>
      <c r="F55" s="426"/>
      <c r="G55" s="205"/>
    </row>
    <row r="56" spans="1:7" ht="11.85" customHeight="1" x14ac:dyDescent="0.25">
      <c r="A56" s="108"/>
      <c r="B56" s="221"/>
      <c r="C56" s="275" t="s">
        <v>175</v>
      </c>
      <c r="D56" s="290"/>
      <c r="E56" s="211"/>
      <c r="F56" s="234"/>
      <c r="G56" s="232"/>
    </row>
    <row r="57" spans="1:7" ht="11.85" customHeight="1" x14ac:dyDescent="0.25">
      <c r="A57" s="424"/>
      <c r="B57" s="412"/>
      <c r="C57" s="205"/>
      <c r="D57" s="205"/>
      <c r="E57" s="425"/>
      <c r="F57" s="426"/>
      <c r="G57" s="205"/>
    </row>
    <row r="58" spans="1:7" ht="11.85" customHeight="1" x14ac:dyDescent="0.25">
      <c r="A58" s="108" t="s">
        <v>1429</v>
      </c>
      <c r="B58" s="221"/>
      <c r="C58" s="233" t="s">
        <v>505</v>
      </c>
      <c r="D58" s="142" t="s">
        <v>87</v>
      </c>
      <c r="E58" s="211">
        <f>+ROUND((3.93*0.15)+(1.963*0.15)+(1.1*0.15*4)+(4*0.1),1)</f>
        <v>1.9</v>
      </c>
      <c r="F58" s="234"/>
      <c r="G58" s="232"/>
    </row>
    <row r="59" spans="1:7" ht="11.85" customHeight="1" x14ac:dyDescent="0.25">
      <c r="A59" s="424"/>
      <c r="B59" s="412"/>
      <c r="C59" s="205"/>
      <c r="D59" s="205"/>
      <c r="E59" s="425"/>
      <c r="F59" s="426"/>
      <c r="G59" s="205"/>
    </row>
    <row r="60" spans="1:7" ht="11.85" customHeight="1" x14ac:dyDescent="0.25">
      <c r="A60" s="108" t="s">
        <v>1430</v>
      </c>
      <c r="B60" s="221"/>
      <c r="C60" s="233" t="s">
        <v>506</v>
      </c>
      <c r="D60" s="142" t="s">
        <v>87</v>
      </c>
      <c r="E60" s="211">
        <f>+ROUND(0.11*21*115%,1)</f>
        <v>2.7</v>
      </c>
      <c r="F60" s="234"/>
      <c r="G60" s="232"/>
    </row>
    <row r="61" spans="1:7" ht="11.85" customHeight="1" x14ac:dyDescent="0.25">
      <c r="A61" s="424"/>
      <c r="B61" s="412"/>
      <c r="C61" s="205"/>
      <c r="D61" s="205"/>
      <c r="E61" s="425"/>
      <c r="F61" s="426"/>
      <c r="G61" s="205"/>
    </row>
    <row r="62" spans="1:7" ht="11.85" customHeight="1" x14ac:dyDescent="0.25">
      <c r="A62" s="108" t="s">
        <v>1431</v>
      </c>
      <c r="B62" s="221"/>
      <c r="C62" s="233" t="s">
        <v>952</v>
      </c>
      <c r="D62" s="142" t="s">
        <v>87</v>
      </c>
      <c r="E62" s="211">
        <f>+ROUND((2.8*0.35*4)+(0.8*0.35*4),1)</f>
        <v>5</v>
      </c>
      <c r="F62" s="234"/>
      <c r="G62" s="232"/>
    </row>
    <row r="63" spans="1:7" ht="11.85" customHeight="1" x14ac:dyDescent="0.25">
      <c r="A63" s="424"/>
      <c r="B63" s="412"/>
      <c r="C63" s="205"/>
      <c r="D63" s="205"/>
      <c r="E63" s="425"/>
      <c r="F63" s="426"/>
      <c r="G63" s="205"/>
    </row>
    <row r="64" spans="1:7" ht="11.85" customHeight="1" x14ac:dyDescent="0.25">
      <c r="A64" s="108" t="s">
        <v>1432</v>
      </c>
      <c r="B64" s="221"/>
      <c r="C64" s="233" t="s">
        <v>953</v>
      </c>
      <c r="D64" s="142" t="s">
        <v>87</v>
      </c>
      <c r="E64" s="211">
        <f>+ROUND(3.9*0.45*4,1)</f>
        <v>7</v>
      </c>
      <c r="F64" s="234"/>
      <c r="G64" s="232"/>
    </row>
    <row r="65" spans="1:7" ht="11.85" customHeight="1" x14ac:dyDescent="0.25">
      <c r="A65" s="424"/>
      <c r="B65" s="412"/>
      <c r="C65" s="205"/>
      <c r="D65" s="205"/>
      <c r="E65" s="425"/>
      <c r="F65" s="426"/>
      <c r="G65" s="205"/>
    </row>
    <row r="66" spans="1:7" ht="11.85" customHeight="1" x14ac:dyDescent="0.25">
      <c r="A66" s="108"/>
      <c r="B66" s="229"/>
      <c r="C66" s="258" t="s">
        <v>176</v>
      </c>
      <c r="D66" s="290"/>
      <c r="E66" s="241"/>
      <c r="F66" s="234"/>
      <c r="G66" s="232"/>
    </row>
    <row r="67" spans="1:7" ht="11.85" customHeight="1" x14ac:dyDescent="0.25">
      <c r="A67" s="424"/>
      <c r="B67" s="412"/>
      <c r="C67" s="205"/>
      <c r="D67" s="205"/>
      <c r="E67" s="425"/>
      <c r="F67" s="426"/>
      <c r="G67" s="205"/>
    </row>
    <row r="68" spans="1:7" ht="11.85" customHeight="1" x14ac:dyDescent="0.25">
      <c r="A68" s="108" t="s">
        <v>1432</v>
      </c>
      <c r="B68" s="229"/>
      <c r="C68" s="220" t="s">
        <v>946</v>
      </c>
      <c r="D68" s="142" t="s">
        <v>87</v>
      </c>
      <c r="E68" s="241">
        <f>4*13</f>
        <v>52</v>
      </c>
      <c r="F68" s="234"/>
      <c r="G68" s="232"/>
    </row>
    <row r="69" spans="1:7" ht="11.85" customHeight="1" x14ac:dyDescent="0.25">
      <c r="A69" s="424"/>
      <c r="B69" s="412"/>
      <c r="C69" s="205"/>
      <c r="D69" s="205"/>
      <c r="E69" s="425"/>
      <c r="F69" s="426"/>
      <c r="G69" s="205"/>
    </row>
    <row r="70" spans="1:7" ht="11.85" customHeight="1" x14ac:dyDescent="0.25">
      <c r="A70" s="108"/>
      <c r="B70" s="207">
        <v>8.3000000000000007</v>
      </c>
      <c r="C70" s="38" t="s">
        <v>151</v>
      </c>
      <c r="D70" s="210"/>
      <c r="E70" s="219"/>
      <c r="F70" s="274"/>
      <c r="G70" s="233"/>
    </row>
    <row r="71" spans="1:7" ht="11.85" customHeight="1" x14ac:dyDescent="0.25">
      <c r="A71" s="424"/>
      <c r="B71" s="412"/>
      <c r="C71" s="205"/>
      <c r="D71" s="205"/>
      <c r="E71" s="425"/>
      <c r="F71" s="426"/>
      <c r="G71" s="205"/>
    </row>
    <row r="72" spans="1:7" ht="11.85" customHeight="1" x14ac:dyDescent="0.25">
      <c r="A72" s="108"/>
      <c r="B72" s="210"/>
      <c r="C72" s="258" t="s">
        <v>406</v>
      </c>
      <c r="D72" s="210"/>
      <c r="E72" s="219"/>
      <c r="F72" s="274"/>
      <c r="G72" s="233"/>
    </row>
    <row r="73" spans="1:7" ht="11.85" customHeight="1" x14ac:dyDescent="0.25">
      <c r="A73" s="424"/>
      <c r="B73" s="412"/>
      <c r="C73" s="205"/>
      <c r="D73" s="205"/>
      <c r="E73" s="425"/>
      <c r="F73" s="426"/>
      <c r="G73" s="205"/>
    </row>
    <row r="74" spans="1:7" ht="11.85" customHeight="1" x14ac:dyDescent="0.25">
      <c r="A74" s="108" t="s">
        <v>1433</v>
      </c>
      <c r="B74" s="210" t="s">
        <v>26</v>
      </c>
      <c r="C74" s="119" t="s">
        <v>177</v>
      </c>
      <c r="D74" s="210" t="s">
        <v>92</v>
      </c>
      <c r="E74" s="219">
        <f>+ROUND((E105*0.23)+(E107*0.15)+(E113*0.1)+(E115*0.135)+(E103*0.115),1)</f>
        <v>8.1</v>
      </c>
      <c r="F74" s="274"/>
      <c r="G74" s="255"/>
    </row>
    <row r="75" spans="1:7" ht="11.85" customHeight="1" x14ac:dyDescent="0.25">
      <c r="A75" s="424"/>
      <c r="B75" s="412"/>
      <c r="C75" s="205"/>
      <c r="D75" s="205"/>
      <c r="E75" s="425"/>
      <c r="F75" s="426"/>
      <c r="G75" s="205"/>
    </row>
    <row r="76" spans="1:7" ht="24" x14ac:dyDescent="0.25">
      <c r="A76" s="108"/>
      <c r="B76" s="273" t="s">
        <v>477</v>
      </c>
      <c r="C76" s="212" t="s">
        <v>508</v>
      </c>
      <c r="D76" s="229"/>
      <c r="E76" s="216"/>
      <c r="F76" s="274"/>
      <c r="G76" s="255"/>
    </row>
    <row r="77" spans="1:7" ht="11.85" customHeight="1" x14ac:dyDescent="0.25">
      <c r="A77" s="424"/>
      <c r="B77" s="412"/>
      <c r="C77" s="205"/>
      <c r="D77" s="205"/>
      <c r="E77" s="425"/>
      <c r="F77" s="426"/>
      <c r="G77" s="205"/>
    </row>
    <row r="78" spans="1:7" ht="11.85" customHeight="1" x14ac:dyDescent="0.25">
      <c r="A78" s="108" t="s">
        <v>1434</v>
      </c>
      <c r="B78" s="142"/>
      <c r="C78" s="119" t="s">
        <v>509</v>
      </c>
      <c r="D78" s="229" t="s">
        <v>87</v>
      </c>
      <c r="E78" s="219">
        <f>+ROUND((2.1*4)+26,1)</f>
        <v>34.4</v>
      </c>
      <c r="F78" s="274"/>
      <c r="G78" s="255"/>
    </row>
    <row r="79" spans="1:7" ht="11.85" customHeight="1" x14ac:dyDescent="0.25">
      <c r="A79" s="424"/>
      <c r="B79" s="412"/>
      <c r="C79" s="205"/>
      <c r="D79" s="205"/>
      <c r="E79" s="425"/>
      <c r="F79" s="426"/>
      <c r="G79" s="205"/>
    </row>
    <row r="80" spans="1:7" ht="11.85" customHeight="1" x14ac:dyDescent="0.25">
      <c r="A80" s="108" t="s">
        <v>1435</v>
      </c>
      <c r="B80" s="142"/>
      <c r="C80" s="119" t="s">
        <v>510</v>
      </c>
      <c r="D80" s="229" t="s">
        <v>87</v>
      </c>
      <c r="E80" s="219">
        <f>+ROUND((23.2*2)+(2.8*2.8*2),1)</f>
        <v>62.1</v>
      </c>
      <c r="F80" s="274"/>
      <c r="G80" s="255"/>
    </row>
    <row r="81" spans="1:7" ht="11.85" customHeight="1" x14ac:dyDescent="0.25">
      <c r="A81" s="424"/>
      <c r="B81" s="412"/>
      <c r="C81" s="205"/>
      <c r="D81" s="205"/>
      <c r="E81" s="425"/>
      <c r="F81" s="426"/>
      <c r="G81" s="205"/>
    </row>
    <row r="82" spans="1:7" ht="11.85" customHeight="1" x14ac:dyDescent="0.25">
      <c r="A82" s="108"/>
      <c r="B82" s="207">
        <v>8.4</v>
      </c>
      <c r="C82" s="38" t="s">
        <v>152</v>
      </c>
      <c r="D82" s="210"/>
      <c r="E82" s="219"/>
      <c r="F82" s="274"/>
      <c r="G82" s="233"/>
    </row>
    <row r="83" spans="1:7" ht="11.85" customHeight="1" x14ac:dyDescent="0.25">
      <c r="A83" s="424"/>
      <c r="B83" s="412"/>
      <c r="C83" s="205"/>
      <c r="D83" s="205"/>
      <c r="E83" s="425"/>
      <c r="F83" s="426"/>
      <c r="G83" s="205"/>
    </row>
    <row r="84" spans="1:7" ht="11.85" customHeight="1" x14ac:dyDescent="0.25">
      <c r="A84" s="108"/>
      <c r="B84" s="210"/>
      <c r="C84" s="258" t="s">
        <v>407</v>
      </c>
      <c r="D84" s="210"/>
      <c r="E84" s="219"/>
      <c r="F84" s="274"/>
      <c r="G84" s="281"/>
    </row>
    <row r="85" spans="1:7" ht="11.85" customHeight="1" x14ac:dyDescent="0.25">
      <c r="A85" s="424"/>
      <c r="B85" s="412"/>
      <c r="C85" s="205"/>
      <c r="D85" s="205"/>
      <c r="E85" s="425"/>
      <c r="F85" s="426"/>
      <c r="G85" s="205"/>
    </row>
    <row r="86" spans="1:7" ht="36" x14ac:dyDescent="0.25">
      <c r="A86" s="108" t="s">
        <v>1436</v>
      </c>
      <c r="B86" s="210" t="s">
        <v>52</v>
      </c>
      <c r="C86" s="119" t="s">
        <v>524</v>
      </c>
      <c r="D86" s="229" t="s">
        <v>87</v>
      </c>
      <c r="E86" s="219">
        <f>23.2+47.8</f>
        <v>71</v>
      </c>
      <c r="F86" s="274"/>
      <c r="G86" s="255"/>
    </row>
    <row r="87" spans="1:7" x14ac:dyDescent="0.25">
      <c r="A87" s="424"/>
      <c r="B87" s="412"/>
      <c r="C87" s="205"/>
      <c r="D87" s="205"/>
      <c r="E87" s="425"/>
      <c r="F87" s="426"/>
      <c r="G87" s="205"/>
    </row>
    <row r="88" spans="1:7" x14ac:dyDescent="0.25">
      <c r="A88" s="227"/>
      <c r="B88" s="206"/>
      <c r="C88" s="207"/>
      <c r="D88" s="207"/>
      <c r="E88" s="208"/>
      <c r="F88" s="294"/>
      <c r="G88" s="207"/>
    </row>
    <row r="89" spans="1:7" x14ac:dyDescent="0.25">
      <c r="A89" s="404"/>
      <c r="B89" s="251"/>
      <c r="C89" s="254"/>
      <c r="D89" s="414"/>
      <c r="E89" s="522"/>
      <c r="F89" s="288"/>
      <c r="G89" s="252"/>
    </row>
    <row r="90" spans="1:7" ht="28.5" customHeight="1" x14ac:dyDescent="0.25">
      <c r="A90" s="526" t="s">
        <v>165</v>
      </c>
      <c r="B90" s="526"/>
      <c r="C90" s="526"/>
      <c r="D90" s="526"/>
      <c r="E90" s="526"/>
      <c r="F90" s="526"/>
      <c r="G90" s="330"/>
    </row>
    <row r="91" spans="1:7" ht="28.5" customHeight="1" x14ac:dyDescent="0.25">
      <c r="A91" s="526" t="s">
        <v>166</v>
      </c>
      <c r="B91" s="526"/>
      <c r="C91" s="526"/>
      <c r="D91" s="526"/>
      <c r="E91" s="526"/>
      <c r="F91" s="526"/>
      <c r="G91" s="330"/>
    </row>
    <row r="92" spans="1:7" x14ac:dyDescent="0.25">
      <c r="A92" s="424"/>
      <c r="B92" s="412"/>
      <c r="C92" s="205"/>
      <c r="D92" s="205"/>
      <c r="E92" s="425"/>
      <c r="F92" s="426"/>
      <c r="G92" s="205"/>
    </row>
    <row r="93" spans="1:7" x14ac:dyDescent="0.25">
      <c r="A93" s="108"/>
      <c r="B93" s="221" t="s">
        <v>94</v>
      </c>
      <c r="C93" s="212" t="s">
        <v>525</v>
      </c>
      <c r="D93" s="210"/>
      <c r="E93" s="219"/>
      <c r="F93" s="274"/>
      <c r="G93" s="281"/>
    </row>
    <row r="94" spans="1:7" ht="11.85" customHeight="1" x14ac:dyDescent="0.25">
      <c r="A94" s="424"/>
      <c r="B94" s="412"/>
      <c r="C94" s="205"/>
      <c r="D94" s="205"/>
      <c r="E94" s="425"/>
      <c r="F94" s="426"/>
      <c r="G94" s="205"/>
    </row>
    <row r="95" spans="1:7" ht="11.85" customHeight="1" x14ac:dyDescent="0.25">
      <c r="A95" s="108"/>
      <c r="B95" s="210"/>
      <c r="C95" s="258" t="s">
        <v>526</v>
      </c>
      <c r="D95" s="210"/>
      <c r="E95" s="219"/>
      <c r="F95" s="274"/>
      <c r="G95" s="281"/>
    </row>
    <row r="96" spans="1:7" ht="11.85" customHeight="1" x14ac:dyDescent="0.25">
      <c r="A96" s="424"/>
      <c r="B96" s="412"/>
      <c r="C96" s="205"/>
      <c r="D96" s="205"/>
      <c r="E96" s="425"/>
      <c r="F96" s="426"/>
      <c r="G96" s="205"/>
    </row>
    <row r="97" spans="1:8" ht="24" x14ac:dyDescent="0.25">
      <c r="A97" s="108" t="s">
        <v>1437</v>
      </c>
      <c r="B97" s="210"/>
      <c r="C97" s="119" t="s">
        <v>527</v>
      </c>
      <c r="D97" s="142" t="s">
        <v>88</v>
      </c>
      <c r="E97" s="219">
        <f>+ROUND(1.44*0.25*8,1)</f>
        <v>2.9</v>
      </c>
      <c r="F97" s="274"/>
      <c r="G97" s="255"/>
    </row>
    <row r="98" spans="1:8" x14ac:dyDescent="0.25">
      <c r="A98" s="424"/>
      <c r="B98" s="412"/>
      <c r="C98" s="205"/>
      <c r="D98" s="205"/>
      <c r="E98" s="425"/>
      <c r="F98" s="426"/>
      <c r="G98" s="205"/>
    </row>
    <row r="99" spans="1:8" ht="13.5" x14ac:dyDescent="0.25">
      <c r="A99" s="108" t="s">
        <v>1438</v>
      </c>
      <c r="B99" s="210"/>
      <c r="C99" s="220" t="s">
        <v>528</v>
      </c>
      <c r="D99" s="142" t="s">
        <v>88</v>
      </c>
      <c r="E99" s="219">
        <f>+ROUND(0.11*0.11*4*8,1)</f>
        <v>0.4</v>
      </c>
      <c r="F99" s="274"/>
      <c r="G99" s="255"/>
    </row>
    <row r="100" spans="1:8" x14ac:dyDescent="0.25">
      <c r="A100" s="424"/>
      <c r="B100" s="412"/>
      <c r="C100" s="205"/>
      <c r="D100" s="205"/>
      <c r="E100" s="425"/>
      <c r="F100" s="426"/>
      <c r="G100" s="205"/>
    </row>
    <row r="101" spans="1:8" x14ac:dyDescent="0.25">
      <c r="A101" s="108"/>
      <c r="B101" s="210"/>
      <c r="C101" s="258" t="s">
        <v>529</v>
      </c>
      <c r="D101" s="142"/>
      <c r="E101" s="219"/>
      <c r="F101" s="274"/>
      <c r="G101" s="255"/>
    </row>
    <row r="102" spans="1:8" x14ac:dyDescent="0.25">
      <c r="A102" s="424"/>
      <c r="B102" s="412"/>
      <c r="C102" s="205"/>
      <c r="D102" s="205"/>
      <c r="E102" s="425"/>
      <c r="F102" s="426"/>
      <c r="G102" s="205"/>
    </row>
    <row r="103" spans="1:8" ht="13.5" x14ac:dyDescent="0.25">
      <c r="A103" s="108" t="s">
        <v>1439</v>
      </c>
      <c r="B103" s="210"/>
      <c r="C103" s="220" t="s">
        <v>503</v>
      </c>
      <c r="D103" s="142" t="s">
        <v>88</v>
      </c>
      <c r="E103" s="219">
        <f>+ROUND(1.2*1.2*0.4*8,1)</f>
        <v>4.5999999999999996</v>
      </c>
      <c r="F103" s="274"/>
      <c r="G103" s="255"/>
    </row>
    <row r="104" spans="1:8" x14ac:dyDescent="0.25">
      <c r="A104" s="424"/>
      <c r="B104" s="412"/>
      <c r="C104" s="205"/>
      <c r="D104" s="205"/>
      <c r="E104" s="425"/>
      <c r="F104" s="426"/>
      <c r="G104" s="205"/>
    </row>
    <row r="105" spans="1:8" ht="13.5" x14ac:dyDescent="0.25">
      <c r="A105" s="108" t="s">
        <v>1440</v>
      </c>
      <c r="B105" s="210"/>
      <c r="C105" s="220" t="s">
        <v>955</v>
      </c>
      <c r="D105" s="142" t="s">
        <v>88</v>
      </c>
      <c r="E105" s="219">
        <f>ROUND(0.4*4.6*2*8,1)</f>
        <v>29.4</v>
      </c>
      <c r="F105" s="274"/>
      <c r="G105" s="255"/>
    </row>
    <row r="106" spans="1:8" x14ac:dyDescent="0.25">
      <c r="A106" s="424"/>
      <c r="B106" s="412"/>
      <c r="C106" s="205"/>
      <c r="D106" s="205"/>
      <c r="E106" s="425"/>
      <c r="F106" s="426"/>
      <c r="G106" s="205"/>
    </row>
    <row r="107" spans="1:8" ht="13.5" x14ac:dyDescent="0.25">
      <c r="A107" s="108" t="s">
        <v>1441</v>
      </c>
      <c r="B107" s="210"/>
      <c r="C107" s="220" t="s">
        <v>530</v>
      </c>
      <c r="D107" s="142" t="s">
        <v>88</v>
      </c>
      <c r="E107" s="219">
        <f>+ROUND(4*0.23*0.45*2,1)</f>
        <v>0.8</v>
      </c>
      <c r="F107" s="274"/>
      <c r="G107" s="255"/>
    </row>
    <row r="108" spans="1:8" x14ac:dyDescent="0.25">
      <c r="A108" s="424"/>
      <c r="B108" s="412"/>
      <c r="C108" s="205"/>
      <c r="D108" s="205"/>
      <c r="E108" s="425"/>
      <c r="F108" s="426"/>
      <c r="G108" s="205"/>
      <c r="H108" s="161"/>
    </row>
    <row r="109" spans="1:8" ht="13.5" x14ac:dyDescent="0.25">
      <c r="A109" s="108" t="s">
        <v>1442</v>
      </c>
      <c r="B109" s="210"/>
      <c r="C109" s="220" t="s">
        <v>531</v>
      </c>
      <c r="D109" s="142" t="s">
        <v>88</v>
      </c>
      <c r="E109" s="219">
        <f>+ROUND((16.779*0.15)+(22.73*0.35)+(8.73*0.25),1)</f>
        <v>12.7</v>
      </c>
      <c r="F109" s="274"/>
      <c r="G109" s="255"/>
    </row>
    <row r="110" spans="1:8" x14ac:dyDescent="0.25">
      <c r="A110" s="424"/>
      <c r="B110" s="412"/>
      <c r="C110" s="205"/>
      <c r="D110" s="205"/>
      <c r="E110" s="425"/>
      <c r="F110" s="426"/>
      <c r="G110" s="205"/>
    </row>
    <row r="111" spans="1:8" ht="13.5" x14ac:dyDescent="0.25">
      <c r="A111" s="108" t="s">
        <v>1443</v>
      </c>
      <c r="B111" s="210"/>
      <c r="C111" s="220" t="s">
        <v>532</v>
      </c>
      <c r="D111" s="142" t="s">
        <v>88</v>
      </c>
      <c r="E111" s="219">
        <f>+ROUND(35.145*0.125,1)</f>
        <v>4.4000000000000004</v>
      </c>
      <c r="F111" s="274"/>
      <c r="G111" s="255"/>
    </row>
    <row r="112" spans="1:8" ht="11.85" customHeight="1" x14ac:dyDescent="0.25">
      <c r="A112" s="424"/>
      <c r="B112" s="412"/>
      <c r="C112" s="205"/>
      <c r="D112" s="205"/>
      <c r="E112" s="425"/>
      <c r="F112" s="426"/>
      <c r="G112" s="205"/>
    </row>
    <row r="113" spans="1:7" ht="11.85" customHeight="1" x14ac:dyDescent="0.25">
      <c r="A113" s="108" t="s">
        <v>1444</v>
      </c>
      <c r="B113" s="210"/>
      <c r="C113" s="119" t="s">
        <v>533</v>
      </c>
      <c r="D113" s="142" t="s">
        <v>88</v>
      </c>
      <c r="E113" s="186">
        <f>ROUND((2.8*2.8*0.35)+(0.8*0.8*0.35),1)</f>
        <v>3</v>
      </c>
      <c r="F113" s="234"/>
      <c r="G113" s="255"/>
    </row>
    <row r="114" spans="1:7" ht="11.85" customHeight="1" x14ac:dyDescent="0.25">
      <c r="A114" s="424"/>
      <c r="B114" s="412"/>
      <c r="C114" s="205"/>
      <c r="D114" s="205"/>
      <c r="E114" s="425"/>
      <c r="F114" s="426"/>
      <c r="G114" s="205"/>
    </row>
    <row r="115" spans="1:7" ht="48" x14ac:dyDescent="0.25">
      <c r="A115" s="108" t="s">
        <v>1445</v>
      </c>
      <c r="B115" s="210"/>
      <c r="C115" s="119" t="s">
        <v>956</v>
      </c>
      <c r="D115" s="142" t="s">
        <v>88</v>
      </c>
      <c r="E115" s="186">
        <f>+ROUND(47.716*0.06,1)</f>
        <v>2.9</v>
      </c>
      <c r="F115" s="234"/>
      <c r="G115" s="255"/>
    </row>
    <row r="116" spans="1:7" ht="11.45" customHeight="1" x14ac:dyDescent="0.25">
      <c r="A116" s="424"/>
      <c r="B116" s="412"/>
      <c r="C116" s="205"/>
      <c r="D116" s="205"/>
      <c r="E116" s="425"/>
      <c r="F116" s="426"/>
      <c r="G116" s="205"/>
    </row>
    <row r="117" spans="1:7" ht="11.45" customHeight="1" x14ac:dyDescent="0.25">
      <c r="A117" s="227"/>
      <c r="B117" s="273" t="s">
        <v>58</v>
      </c>
      <c r="C117" s="212" t="s">
        <v>158</v>
      </c>
      <c r="D117" s="207"/>
      <c r="E117" s="208"/>
      <c r="F117" s="294"/>
      <c r="G117" s="207"/>
    </row>
    <row r="118" spans="1:7" ht="11.45" customHeight="1" x14ac:dyDescent="0.25">
      <c r="A118" s="424"/>
      <c r="B118" s="204"/>
      <c r="C118" s="205"/>
      <c r="D118" s="205"/>
      <c r="E118" s="425"/>
      <c r="F118" s="426"/>
      <c r="G118" s="205"/>
    </row>
    <row r="119" spans="1:7" ht="24" x14ac:dyDescent="0.25">
      <c r="A119" s="108" t="s">
        <v>1446</v>
      </c>
      <c r="B119" s="210"/>
      <c r="C119" s="119" t="s">
        <v>957</v>
      </c>
      <c r="D119" s="229" t="s">
        <v>87</v>
      </c>
      <c r="E119" s="186">
        <f>ROUND(47.8+(2.8*2.8)+(0.8*0.8)+7+35.2,1)</f>
        <v>98.5</v>
      </c>
      <c r="F119" s="234"/>
      <c r="G119" s="255"/>
    </row>
    <row r="120" spans="1:7" ht="11.85" customHeight="1" x14ac:dyDescent="0.25">
      <c r="A120" s="424"/>
      <c r="B120" s="412"/>
      <c r="C120" s="205"/>
      <c r="D120" s="205"/>
      <c r="E120" s="425"/>
      <c r="F120" s="426"/>
      <c r="G120" s="205"/>
    </row>
    <row r="121" spans="1:7" ht="11.85" customHeight="1" x14ac:dyDescent="0.25">
      <c r="A121" s="108" t="s">
        <v>1447</v>
      </c>
      <c r="B121" s="210"/>
      <c r="C121" s="119" t="s">
        <v>954</v>
      </c>
      <c r="D121" s="229" t="s">
        <v>87</v>
      </c>
      <c r="E121" s="186">
        <f>16.8+8.8</f>
        <v>25.6</v>
      </c>
      <c r="F121" s="234"/>
      <c r="G121" s="255"/>
    </row>
    <row r="122" spans="1:7" ht="11.85" customHeight="1" x14ac:dyDescent="0.25">
      <c r="A122" s="424"/>
      <c r="B122" s="412"/>
      <c r="C122" s="205"/>
      <c r="D122" s="205"/>
      <c r="E122" s="425"/>
      <c r="F122" s="426"/>
      <c r="G122" s="205"/>
    </row>
    <row r="123" spans="1:7" ht="11.85" customHeight="1" x14ac:dyDescent="0.25">
      <c r="A123" s="108"/>
      <c r="B123" s="207">
        <v>8.5</v>
      </c>
      <c r="C123" s="218" t="s">
        <v>448</v>
      </c>
      <c r="D123" s="229"/>
      <c r="E123" s="186"/>
      <c r="F123" s="234"/>
      <c r="G123" s="232"/>
    </row>
    <row r="124" spans="1:7" ht="11.85" customHeight="1" x14ac:dyDescent="0.25">
      <c r="A124" s="424"/>
      <c r="B124" s="412"/>
      <c r="C124" s="205"/>
      <c r="D124" s="205"/>
      <c r="E124" s="425"/>
      <c r="F124" s="426"/>
      <c r="G124" s="205"/>
    </row>
    <row r="125" spans="1:7" ht="24" x14ac:dyDescent="0.25">
      <c r="A125" s="108"/>
      <c r="B125" s="210"/>
      <c r="C125" s="257" t="s">
        <v>2348</v>
      </c>
      <c r="D125" s="210"/>
      <c r="E125" s="186"/>
      <c r="F125" s="333"/>
      <c r="G125" s="209"/>
    </row>
    <row r="126" spans="1:7" ht="11.85" customHeight="1" x14ac:dyDescent="0.25">
      <c r="A126" s="424"/>
      <c r="B126" s="412"/>
      <c r="C126" s="205"/>
      <c r="D126" s="205"/>
      <c r="E126" s="425"/>
      <c r="F126" s="426"/>
      <c r="G126" s="205"/>
    </row>
    <row r="127" spans="1:7" ht="24" x14ac:dyDescent="0.25">
      <c r="A127" s="108" t="s">
        <v>1448</v>
      </c>
      <c r="B127" s="210"/>
      <c r="C127" s="233" t="s">
        <v>511</v>
      </c>
      <c r="D127" s="210" t="s">
        <v>6</v>
      </c>
      <c r="E127" s="186">
        <v>8</v>
      </c>
      <c r="F127" s="333"/>
      <c r="G127" s="255"/>
    </row>
    <row r="128" spans="1:7" ht="9.9499999999999993" customHeight="1" x14ac:dyDescent="0.25">
      <c r="A128" s="424"/>
      <c r="B128" s="412"/>
      <c r="C128" s="205"/>
      <c r="D128" s="205"/>
      <c r="E128" s="425"/>
      <c r="F128" s="426"/>
      <c r="G128" s="205"/>
    </row>
    <row r="129" spans="1:7" ht="24" x14ac:dyDescent="0.25">
      <c r="A129" s="108" t="s">
        <v>1449</v>
      </c>
      <c r="B129" s="210"/>
      <c r="C129" s="233" t="s">
        <v>512</v>
      </c>
      <c r="D129" s="210" t="s">
        <v>6</v>
      </c>
      <c r="E129" s="186">
        <f>E127</f>
        <v>8</v>
      </c>
      <c r="F129" s="333"/>
      <c r="G129" s="255"/>
    </row>
    <row r="130" spans="1:7" ht="9.9499999999999993" customHeight="1" x14ac:dyDescent="0.25">
      <c r="A130" s="424"/>
      <c r="B130" s="412"/>
      <c r="C130" s="205"/>
      <c r="D130" s="205"/>
      <c r="E130" s="425"/>
      <c r="F130" s="426"/>
      <c r="G130" s="205"/>
    </row>
    <row r="131" spans="1:7" ht="24" x14ac:dyDescent="0.25">
      <c r="A131" s="108" t="s">
        <v>1450</v>
      </c>
      <c r="B131" s="210"/>
      <c r="C131" s="233" t="s">
        <v>513</v>
      </c>
      <c r="D131" s="210" t="s">
        <v>6</v>
      </c>
      <c r="E131" s="186">
        <f>E129</f>
        <v>8</v>
      </c>
      <c r="F131" s="333"/>
      <c r="G131" s="255"/>
    </row>
    <row r="132" spans="1:7" ht="9.9499999999999993" customHeight="1" x14ac:dyDescent="0.25">
      <c r="A132" s="424"/>
      <c r="B132" s="412"/>
      <c r="C132" s="205"/>
      <c r="D132" s="205"/>
      <c r="E132" s="425"/>
      <c r="F132" s="426"/>
      <c r="G132" s="205"/>
    </row>
    <row r="133" spans="1:7" ht="36" x14ac:dyDescent="0.25">
      <c r="A133" s="108" t="s">
        <v>1451</v>
      </c>
      <c r="B133" s="210"/>
      <c r="C133" s="233" t="s">
        <v>514</v>
      </c>
      <c r="D133" s="210" t="s">
        <v>6</v>
      </c>
      <c r="E133" s="186">
        <f>E131</f>
        <v>8</v>
      </c>
      <c r="F133" s="333"/>
      <c r="G133" s="255"/>
    </row>
    <row r="134" spans="1:7" ht="9.9499999999999993" customHeight="1" x14ac:dyDescent="0.25">
      <c r="A134" s="424"/>
      <c r="B134" s="412"/>
      <c r="C134" s="205"/>
      <c r="D134" s="205"/>
      <c r="E134" s="425"/>
      <c r="F134" s="426"/>
      <c r="G134" s="205"/>
    </row>
    <row r="135" spans="1:7" ht="28.5" customHeight="1" x14ac:dyDescent="0.25">
      <c r="A135" s="526" t="s">
        <v>165</v>
      </c>
      <c r="B135" s="526"/>
      <c r="C135" s="526"/>
      <c r="D135" s="526"/>
      <c r="E135" s="526"/>
      <c r="F135" s="526"/>
      <c r="G135" s="330"/>
    </row>
    <row r="136" spans="1:7" ht="28.5" customHeight="1" x14ac:dyDescent="0.25">
      <c r="A136" s="526" t="s">
        <v>166</v>
      </c>
      <c r="B136" s="526"/>
      <c r="C136" s="526"/>
      <c r="D136" s="526"/>
      <c r="E136" s="526"/>
      <c r="F136" s="526"/>
      <c r="G136" s="330"/>
    </row>
    <row r="137" spans="1:7" ht="9.75" customHeight="1" x14ac:dyDescent="0.25">
      <c r="A137" s="424"/>
      <c r="B137" s="412"/>
      <c r="C137" s="205"/>
      <c r="D137" s="205"/>
      <c r="E137" s="425"/>
      <c r="F137" s="426"/>
      <c r="G137" s="205"/>
    </row>
    <row r="138" spans="1:7" ht="24" x14ac:dyDescent="0.25">
      <c r="A138" s="108"/>
      <c r="B138" s="210"/>
      <c r="C138" s="257" t="s">
        <v>2349</v>
      </c>
      <c r="D138" s="210"/>
      <c r="E138" s="186"/>
      <c r="F138" s="333"/>
      <c r="G138" s="209"/>
    </row>
    <row r="139" spans="1:7" ht="9.75" customHeight="1" x14ac:dyDescent="0.25">
      <c r="A139" s="424"/>
      <c r="B139" s="412"/>
      <c r="C139" s="205"/>
      <c r="D139" s="205"/>
      <c r="E139" s="425"/>
      <c r="F139" s="426"/>
      <c r="G139" s="205"/>
    </row>
    <row r="140" spans="1:7" ht="11.85" customHeight="1" x14ac:dyDescent="0.25">
      <c r="A140" s="108" t="s">
        <v>1452</v>
      </c>
      <c r="B140" s="210"/>
      <c r="C140" s="233" t="s">
        <v>515</v>
      </c>
      <c r="D140" s="210" t="s">
        <v>6</v>
      </c>
      <c r="E140" s="186">
        <f>13+(1.1*4)+2+4</f>
        <v>23.4</v>
      </c>
      <c r="F140" s="333"/>
      <c r="G140" s="255"/>
    </row>
    <row r="141" spans="1:7" ht="9.75" customHeight="1" x14ac:dyDescent="0.25">
      <c r="A141" s="424"/>
      <c r="B141" s="412"/>
      <c r="C141" s="205"/>
      <c r="D141" s="205"/>
      <c r="E141" s="425"/>
      <c r="F141" s="426"/>
      <c r="G141" s="205"/>
    </row>
    <row r="142" spans="1:7" ht="24" x14ac:dyDescent="0.25">
      <c r="A142" s="108" t="s">
        <v>1453</v>
      </c>
      <c r="B142" s="210"/>
      <c r="C142" s="233" t="s">
        <v>512</v>
      </c>
      <c r="D142" s="210" t="s">
        <v>6</v>
      </c>
      <c r="E142" s="186">
        <f>E140</f>
        <v>23.4</v>
      </c>
      <c r="F142" s="333"/>
      <c r="G142" s="255"/>
    </row>
    <row r="143" spans="1:7" ht="9.75" customHeight="1" x14ac:dyDescent="0.25">
      <c r="A143" s="424"/>
      <c r="B143" s="412"/>
      <c r="C143" s="205"/>
      <c r="D143" s="205"/>
      <c r="E143" s="425"/>
      <c r="F143" s="426"/>
      <c r="G143" s="205"/>
    </row>
    <row r="144" spans="1:7" ht="24" x14ac:dyDescent="0.25">
      <c r="A144" s="108" t="s">
        <v>1454</v>
      </c>
      <c r="B144" s="210"/>
      <c r="C144" s="233" t="s">
        <v>513</v>
      </c>
      <c r="D144" s="210" t="s">
        <v>6</v>
      </c>
      <c r="E144" s="186">
        <f>E142</f>
        <v>23.4</v>
      </c>
      <c r="F144" s="333"/>
      <c r="G144" s="255"/>
    </row>
    <row r="145" spans="1:7" ht="9.75" customHeight="1" x14ac:dyDescent="0.25">
      <c r="A145" s="424"/>
      <c r="B145" s="412"/>
      <c r="C145" s="205"/>
      <c r="D145" s="205"/>
      <c r="E145" s="425"/>
      <c r="F145" s="426"/>
      <c r="G145" s="205"/>
    </row>
    <row r="146" spans="1:7" ht="36" x14ac:dyDescent="0.25">
      <c r="A146" s="108" t="s">
        <v>1455</v>
      </c>
      <c r="B146" s="210"/>
      <c r="C146" s="233" t="s">
        <v>514</v>
      </c>
      <c r="D146" s="210" t="s">
        <v>6</v>
      </c>
      <c r="E146" s="186">
        <f>E144</f>
        <v>23.4</v>
      </c>
      <c r="F146" s="333"/>
      <c r="G146" s="255"/>
    </row>
    <row r="147" spans="1:7" ht="9.75" customHeight="1" x14ac:dyDescent="0.25">
      <c r="A147" s="424"/>
      <c r="B147" s="412"/>
      <c r="C147" s="205"/>
      <c r="D147" s="205"/>
      <c r="E147" s="425"/>
      <c r="F147" s="426"/>
      <c r="G147" s="205"/>
    </row>
    <row r="148" spans="1:7" ht="24.75" customHeight="1" x14ac:dyDescent="0.25">
      <c r="A148" s="108"/>
      <c r="B148" s="142"/>
      <c r="C148" s="212" t="s">
        <v>2350</v>
      </c>
      <c r="D148" s="229"/>
      <c r="E148" s="216"/>
      <c r="F148" s="274"/>
      <c r="G148" s="255"/>
    </row>
    <row r="149" spans="1:7" ht="9.75" customHeight="1" x14ac:dyDescent="0.25">
      <c r="A149" s="424"/>
      <c r="B149" s="412"/>
      <c r="C149" s="205"/>
      <c r="D149" s="205"/>
      <c r="E149" s="425"/>
      <c r="F149" s="426"/>
      <c r="G149" s="205"/>
    </row>
    <row r="150" spans="1:7" ht="48" x14ac:dyDescent="0.25">
      <c r="A150" s="108" t="s">
        <v>1456</v>
      </c>
      <c r="B150" s="142"/>
      <c r="C150" s="233" t="s">
        <v>517</v>
      </c>
      <c r="D150" s="210" t="s">
        <v>6</v>
      </c>
      <c r="E150" s="219">
        <f>8.1+2.8+7.9</f>
        <v>18.799999999999997</v>
      </c>
      <c r="F150" s="274"/>
      <c r="G150" s="255"/>
    </row>
    <row r="151" spans="1:7" ht="9.75" customHeight="1" x14ac:dyDescent="0.25">
      <c r="A151" s="424"/>
      <c r="B151" s="412"/>
      <c r="C151" s="205"/>
      <c r="D151" s="205"/>
      <c r="E151" s="425"/>
      <c r="F151" s="426"/>
      <c r="G151" s="205"/>
    </row>
    <row r="152" spans="1:7" ht="48" x14ac:dyDescent="0.25">
      <c r="A152" s="108" t="s">
        <v>1457</v>
      </c>
      <c r="B152" s="142"/>
      <c r="C152" s="233" t="s">
        <v>518</v>
      </c>
      <c r="D152" s="210" t="s">
        <v>6</v>
      </c>
      <c r="E152" s="219">
        <v>8.1</v>
      </c>
      <c r="F152" s="274"/>
      <c r="G152" s="255"/>
    </row>
    <row r="153" spans="1:7" ht="9.75" customHeight="1" x14ac:dyDescent="0.25">
      <c r="A153" s="424"/>
      <c r="B153" s="412"/>
      <c r="C153" s="205"/>
      <c r="D153" s="205"/>
      <c r="E153" s="425"/>
      <c r="F153" s="426"/>
      <c r="G153" s="205"/>
    </row>
    <row r="154" spans="1:7" ht="48" x14ac:dyDescent="0.25">
      <c r="A154" s="108" t="s">
        <v>1458</v>
      </c>
      <c r="B154" s="142"/>
      <c r="C154" s="233" t="s">
        <v>519</v>
      </c>
      <c r="D154" s="210" t="s">
        <v>6</v>
      </c>
      <c r="E154" s="187">
        <f>1.9+10.1+1.2</f>
        <v>13.2</v>
      </c>
      <c r="F154" s="274"/>
      <c r="G154" s="255"/>
    </row>
    <row r="155" spans="1:7" ht="9.75" customHeight="1" x14ac:dyDescent="0.25">
      <c r="A155" s="424"/>
      <c r="B155" s="412"/>
      <c r="C155" s="205"/>
      <c r="D155" s="205"/>
      <c r="E155" s="425"/>
      <c r="F155" s="426"/>
      <c r="G155" s="205"/>
    </row>
    <row r="156" spans="1:7" ht="48" x14ac:dyDescent="0.25">
      <c r="A156" s="108" t="s">
        <v>1459</v>
      </c>
      <c r="B156" s="142"/>
      <c r="C156" s="233" t="s">
        <v>516</v>
      </c>
      <c r="D156" s="210" t="s">
        <v>6</v>
      </c>
      <c r="E156" s="219">
        <v>34.299999999999997</v>
      </c>
      <c r="F156" s="274"/>
      <c r="G156" s="255"/>
    </row>
    <row r="157" spans="1:7" ht="9.75" customHeight="1" x14ac:dyDescent="0.25">
      <c r="A157" s="424"/>
      <c r="B157" s="412"/>
      <c r="C157" s="205"/>
      <c r="D157" s="205"/>
      <c r="E157" s="425"/>
      <c r="F157" s="426"/>
      <c r="G157" s="205"/>
    </row>
    <row r="158" spans="1:7" ht="36" x14ac:dyDescent="0.25">
      <c r="A158" s="108" t="s">
        <v>1460</v>
      </c>
      <c r="B158" s="142"/>
      <c r="C158" s="233" t="s">
        <v>520</v>
      </c>
      <c r="D158" s="210" t="s">
        <v>6</v>
      </c>
      <c r="E158" s="219">
        <f>SUM(E150:E156)</f>
        <v>74.399999999999991</v>
      </c>
      <c r="F158" s="274"/>
      <c r="G158" s="255"/>
    </row>
    <row r="159" spans="1:7" ht="9.9499999999999993" customHeight="1" x14ac:dyDescent="0.25">
      <c r="A159" s="424"/>
      <c r="B159" s="412"/>
      <c r="C159" s="205"/>
      <c r="D159" s="205"/>
      <c r="E159" s="425"/>
      <c r="F159" s="426"/>
      <c r="G159" s="205"/>
    </row>
    <row r="160" spans="1:7" x14ac:dyDescent="0.25">
      <c r="A160" s="108"/>
      <c r="B160" s="142"/>
      <c r="C160" s="257" t="s">
        <v>521</v>
      </c>
      <c r="D160" s="229"/>
      <c r="E160" s="216"/>
      <c r="F160" s="274"/>
      <c r="G160" s="255"/>
    </row>
    <row r="161" spans="1:11" ht="9.9499999999999993" customHeight="1" x14ac:dyDescent="0.25">
      <c r="A161" s="424"/>
      <c r="B161" s="412"/>
      <c r="C161" s="205"/>
      <c r="D161" s="205"/>
      <c r="E161" s="425"/>
      <c r="F161" s="426"/>
      <c r="G161" s="205"/>
    </row>
    <row r="162" spans="1:11" ht="24" x14ac:dyDescent="0.25">
      <c r="A162" s="108" t="s">
        <v>1461</v>
      </c>
      <c r="B162" s="229"/>
      <c r="C162" s="119" t="s">
        <v>522</v>
      </c>
      <c r="D162" s="210" t="s">
        <v>6</v>
      </c>
      <c r="E162" s="211">
        <f>+ROUND(0.88*2,1)</f>
        <v>1.8</v>
      </c>
      <c r="F162" s="234"/>
      <c r="G162" s="255"/>
    </row>
    <row r="163" spans="1:11" ht="9.9499999999999993" customHeight="1" x14ac:dyDescent="0.25">
      <c r="A163" s="424"/>
      <c r="B163" s="412"/>
      <c r="C163" s="205"/>
      <c r="D163" s="205"/>
      <c r="E163" s="425"/>
      <c r="F163" s="426"/>
      <c r="G163" s="205"/>
    </row>
    <row r="164" spans="1:11" ht="24" x14ac:dyDescent="0.25">
      <c r="A164" s="108" t="s">
        <v>1462</v>
      </c>
      <c r="B164" s="229"/>
      <c r="C164" s="119" t="s">
        <v>523</v>
      </c>
      <c r="D164" s="210" t="s">
        <v>6</v>
      </c>
      <c r="E164" s="211">
        <v>32.6</v>
      </c>
      <c r="F164" s="234"/>
      <c r="G164" s="255"/>
    </row>
    <row r="165" spans="1:11" ht="9.9499999999999993" customHeight="1" x14ac:dyDescent="0.25">
      <c r="A165" s="424"/>
      <c r="B165" s="412"/>
      <c r="C165" s="205"/>
      <c r="D165" s="205"/>
      <c r="E165" s="425"/>
      <c r="F165" s="426"/>
      <c r="G165" s="205"/>
    </row>
    <row r="166" spans="1:11" ht="48" x14ac:dyDescent="0.25">
      <c r="A166" s="108" t="s">
        <v>1463</v>
      </c>
      <c r="B166" s="229">
        <v>8.6</v>
      </c>
      <c r="C166" s="119" t="s">
        <v>507</v>
      </c>
      <c r="D166" s="229" t="s">
        <v>87</v>
      </c>
      <c r="E166" s="211">
        <v>52</v>
      </c>
      <c r="F166" s="234"/>
      <c r="G166" s="255"/>
    </row>
    <row r="167" spans="1:11" ht="9.9499999999999993" customHeight="1" x14ac:dyDescent="0.25">
      <c r="A167" s="404"/>
      <c r="B167" s="414"/>
      <c r="C167" s="254"/>
      <c r="D167" s="414"/>
      <c r="E167" s="236"/>
      <c r="F167" s="237"/>
      <c r="G167" s="252"/>
    </row>
    <row r="168" spans="1:11" ht="28.5" customHeight="1" x14ac:dyDescent="0.25">
      <c r="A168" s="526" t="s">
        <v>165</v>
      </c>
      <c r="B168" s="526"/>
      <c r="C168" s="526"/>
      <c r="D168" s="526"/>
      <c r="E168" s="526"/>
      <c r="F168" s="526"/>
      <c r="G168" s="330"/>
    </row>
    <row r="169" spans="1:11" ht="28.5" customHeight="1" x14ac:dyDescent="0.25">
      <c r="A169" s="526" t="s">
        <v>166</v>
      </c>
      <c r="B169" s="526"/>
      <c r="C169" s="526"/>
      <c r="D169" s="526"/>
      <c r="E169" s="526"/>
      <c r="F169" s="526"/>
      <c r="G169" s="330"/>
    </row>
    <row r="170" spans="1:11" x14ac:dyDescent="0.25">
      <c r="A170" s="424"/>
      <c r="B170" s="412"/>
      <c r="C170" s="205"/>
      <c r="D170" s="205"/>
      <c r="E170" s="425"/>
      <c r="F170" s="426"/>
      <c r="G170" s="205"/>
    </row>
    <row r="171" spans="1:11" x14ac:dyDescent="0.25">
      <c r="A171" s="231" t="s">
        <v>1464</v>
      </c>
      <c r="B171" s="229"/>
      <c r="C171" s="38" t="s">
        <v>958</v>
      </c>
      <c r="D171" s="229"/>
      <c r="E171" s="211"/>
      <c r="F171" s="234"/>
      <c r="G171" s="255"/>
    </row>
    <row r="172" spans="1:11" x14ac:dyDescent="0.25">
      <c r="A172" s="424"/>
      <c r="B172" s="412"/>
      <c r="C172" s="205"/>
      <c r="D172" s="205"/>
      <c r="E172" s="425"/>
      <c r="F172" s="426"/>
      <c r="G172" s="205"/>
    </row>
    <row r="173" spans="1:11" ht="72" x14ac:dyDescent="0.25">
      <c r="A173" s="108" t="s">
        <v>1465</v>
      </c>
      <c r="B173" s="210" t="s">
        <v>2186</v>
      </c>
      <c r="C173" s="233" t="s">
        <v>579</v>
      </c>
      <c r="D173" s="229" t="s">
        <v>87</v>
      </c>
      <c r="E173" s="211">
        <f>+(4.5*1*2)+(12.6*1*2)</f>
        <v>34.200000000000003</v>
      </c>
      <c r="F173" s="234"/>
      <c r="G173" s="255"/>
    </row>
    <row r="174" spans="1:11" x14ac:dyDescent="0.25">
      <c r="A174" s="424"/>
      <c r="B174" s="412"/>
      <c r="C174" s="205"/>
      <c r="D174" s="205"/>
      <c r="E174" s="425"/>
      <c r="F174" s="426"/>
      <c r="G174" s="205"/>
    </row>
    <row r="175" spans="1:11" ht="60" x14ac:dyDescent="0.25">
      <c r="A175" s="108" t="s">
        <v>1466</v>
      </c>
      <c r="B175" s="210" t="s">
        <v>2186</v>
      </c>
      <c r="C175" s="119" t="s">
        <v>580</v>
      </c>
      <c r="D175" s="229" t="s">
        <v>87</v>
      </c>
      <c r="E175" s="211">
        <f>+(4.5*3.6*2)+(12.6*3.6*2)</f>
        <v>123.12</v>
      </c>
      <c r="F175" s="234"/>
      <c r="G175" s="255"/>
      <c r="K175" s="21">
        <v>1525</v>
      </c>
    </row>
    <row r="176" spans="1:11" x14ac:dyDescent="0.25">
      <c r="A176" s="424"/>
      <c r="B176" s="412"/>
      <c r="C176" s="205"/>
      <c r="D176" s="205"/>
      <c r="E176" s="425"/>
      <c r="F176" s="426"/>
      <c r="G176" s="205"/>
    </row>
    <row r="177" spans="1:11" x14ac:dyDescent="0.25">
      <c r="A177" s="108" t="s">
        <v>1467</v>
      </c>
      <c r="B177" s="229"/>
      <c r="C177" s="233" t="s">
        <v>582</v>
      </c>
      <c r="D177" s="210" t="s">
        <v>8</v>
      </c>
      <c r="E177" s="211">
        <f>34*2</f>
        <v>68</v>
      </c>
      <c r="F177" s="234"/>
      <c r="G177" s="255"/>
    </row>
    <row r="178" spans="1:11" x14ac:dyDescent="0.25">
      <c r="A178" s="424"/>
      <c r="B178" s="412"/>
      <c r="C178" s="205"/>
      <c r="D178" s="205"/>
      <c r="E178" s="425"/>
      <c r="F178" s="426"/>
      <c r="G178" s="205"/>
    </row>
    <row r="179" spans="1:11" ht="36" x14ac:dyDescent="0.25">
      <c r="A179" s="108" t="s">
        <v>1468</v>
      </c>
      <c r="B179" s="229"/>
      <c r="C179" s="119" t="s">
        <v>581</v>
      </c>
      <c r="D179" s="229" t="s">
        <v>87</v>
      </c>
      <c r="E179" s="211">
        <v>94</v>
      </c>
      <c r="F179" s="234"/>
      <c r="G179" s="255"/>
      <c r="K179" s="21">
        <v>55.301400006000001</v>
      </c>
    </row>
    <row r="180" spans="1:11" x14ac:dyDescent="0.25">
      <c r="A180" s="424"/>
      <c r="B180" s="412"/>
      <c r="C180" s="205"/>
      <c r="D180" s="205"/>
      <c r="E180" s="425"/>
      <c r="F180" s="426"/>
      <c r="G180" s="205"/>
    </row>
    <row r="181" spans="1:11" ht="48" x14ac:dyDescent="0.25">
      <c r="A181" s="108" t="s">
        <v>1469</v>
      </c>
      <c r="B181" s="210" t="s">
        <v>432</v>
      </c>
      <c r="C181" s="233" t="s">
        <v>960</v>
      </c>
      <c r="D181" s="210" t="s">
        <v>8</v>
      </c>
      <c r="E181" s="211">
        <v>2</v>
      </c>
      <c r="F181" s="234"/>
      <c r="G181" s="255"/>
    </row>
    <row r="182" spans="1:11" x14ac:dyDescent="0.25">
      <c r="A182" s="424"/>
      <c r="B182" s="412"/>
      <c r="C182" s="205"/>
      <c r="D182" s="205"/>
      <c r="E182" s="425"/>
      <c r="F182" s="426"/>
      <c r="G182" s="205"/>
    </row>
    <row r="183" spans="1:11" ht="25.9" customHeight="1" x14ac:dyDescent="0.25">
      <c r="A183" s="108" t="s">
        <v>1470</v>
      </c>
      <c r="B183" s="210" t="s">
        <v>432</v>
      </c>
      <c r="C183" s="233" t="s">
        <v>959</v>
      </c>
      <c r="D183" s="210" t="s">
        <v>8</v>
      </c>
      <c r="E183" s="211">
        <v>2</v>
      </c>
      <c r="F183" s="234"/>
      <c r="G183" s="255"/>
    </row>
    <row r="184" spans="1:11" x14ac:dyDescent="0.25">
      <c r="A184" s="424"/>
      <c r="B184" s="412"/>
      <c r="C184" s="205"/>
      <c r="D184" s="205"/>
      <c r="E184" s="425"/>
      <c r="F184" s="426"/>
      <c r="G184" s="205"/>
    </row>
    <row r="185" spans="1:11" ht="48" x14ac:dyDescent="0.25">
      <c r="A185" s="108" t="s">
        <v>1471</v>
      </c>
      <c r="B185" s="229"/>
      <c r="C185" s="233" t="s">
        <v>585</v>
      </c>
      <c r="D185" s="210" t="s">
        <v>8</v>
      </c>
      <c r="E185" s="186">
        <v>3</v>
      </c>
      <c r="F185" s="242"/>
      <c r="G185" s="255"/>
    </row>
    <row r="186" spans="1:11" x14ac:dyDescent="0.25">
      <c r="A186" s="424"/>
      <c r="B186" s="412"/>
      <c r="C186" s="205"/>
      <c r="D186" s="205"/>
      <c r="E186" s="425"/>
      <c r="F186" s="426"/>
      <c r="G186" s="205"/>
    </row>
    <row r="187" spans="1:11" ht="36" x14ac:dyDescent="0.25">
      <c r="A187" s="108" t="s">
        <v>1472</v>
      </c>
      <c r="B187" s="229"/>
      <c r="C187" s="233" t="s">
        <v>586</v>
      </c>
      <c r="D187" s="210" t="s">
        <v>6</v>
      </c>
      <c r="E187" s="186">
        <v>12</v>
      </c>
      <c r="F187" s="242"/>
      <c r="G187" s="255"/>
    </row>
    <row r="188" spans="1:11" x14ac:dyDescent="0.25">
      <c r="A188" s="424"/>
      <c r="B188" s="412"/>
      <c r="C188" s="205"/>
      <c r="D188" s="205"/>
      <c r="E188" s="425"/>
      <c r="F188" s="426"/>
      <c r="G188" s="205"/>
    </row>
    <row r="189" spans="1:11" ht="48" x14ac:dyDescent="0.25">
      <c r="A189" s="108" t="s">
        <v>1473</v>
      </c>
      <c r="B189" s="229"/>
      <c r="C189" s="119" t="s">
        <v>961</v>
      </c>
      <c r="D189" s="210" t="s">
        <v>8</v>
      </c>
      <c r="E189" s="211">
        <v>1</v>
      </c>
      <c r="F189" s="234"/>
      <c r="G189" s="255"/>
    </row>
    <row r="190" spans="1:11" x14ac:dyDescent="0.25">
      <c r="A190" s="424"/>
      <c r="B190" s="412"/>
      <c r="C190" s="205"/>
      <c r="D190" s="205"/>
      <c r="E190" s="425"/>
      <c r="F190" s="426"/>
      <c r="G190" s="205"/>
    </row>
    <row r="191" spans="1:11" ht="48" customHeight="1" x14ac:dyDescent="0.25">
      <c r="A191" s="108" t="s">
        <v>1474</v>
      </c>
      <c r="B191" s="142" t="s">
        <v>2187</v>
      </c>
      <c r="C191" s="119" t="s">
        <v>962</v>
      </c>
      <c r="D191" s="229" t="s">
        <v>87</v>
      </c>
      <c r="E191" s="211">
        <v>55.3</v>
      </c>
      <c r="F191" s="234"/>
      <c r="G191" s="255"/>
    </row>
    <row r="192" spans="1:11" x14ac:dyDescent="0.25">
      <c r="A192" s="424"/>
      <c r="B192" s="412"/>
      <c r="C192" s="205"/>
      <c r="D192" s="205"/>
      <c r="E192" s="425"/>
      <c r="F192" s="426"/>
      <c r="G192" s="205"/>
    </row>
    <row r="193" spans="1:7" ht="39.6" customHeight="1" x14ac:dyDescent="0.25">
      <c r="A193" s="108" t="s">
        <v>1475</v>
      </c>
      <c r="B193" s="142" t="s">
        <v>2187</v>
      </c>
      <c r="C193" s="119" t="s">
        <v>969</v>
      </c>
      <c r="D193" s="229" t="s">
        <v>87</v>
      </c>
      <c r="E193" s="211">
        <f>ROUND(2.85*7.4,1)</f>
        <v>21.1</v>
      </c>
      <c r="F193" s="234"/>
      <c r="G193" s="255"/>
    </row>
    <row r="194" spans="1:7" x14ac:dyDescent="0.25">
      <c r="A194" s="404"/>
      <c r="B194" s="251"/>
      <c r="C194" s="254"/>
      <c r="D194" s="414"/>
      <c r="E194" s="236"/>
      <c r="F194" s="237"/>
      <c r="G194" s="252"/>
    </row>
    <row r="195" spans="1:7" ht="27.75" customHeight="1" x14ac:dyDescent="0.25">
      <c r="A195" s="526" t="s">
        <v>1561</v>
      </c>
      <c r="B195" s="526"/>
      <c r="C195" s="526"/>
      <c r="D195" s="526"/>
      <c r="E195" s="526"/>
      <c r="F195" s="526"/>
      <c r="G195" s="330"/>
    </row>
    <row r="196" spans="1:7" x14ac:dyDescent="0.25">
      <c r="A196" s="424"/>
      <c r="B196" s="412"/>
      <c r="C196" s="205"/>
      <c r="D196" s="205"/>
      <c r="E196" s="425"/>
      <c r="F196" s="426"/>
      <c r="G196" s="205"/>
    </row>
    <row r="197" spans="1:7" x14ac:dyDescent="0.25">
      <c r="A197" s="312" t="s">
        <v>1410</v>
      </c>
      <c r="B197" s="207"/>
      <c r="C197" s="272" t="s">
        <v>438</v>
      </c>
      <c r="D197" s="215"/>
      <c r="E197" s="216"/>
      <c r="F197" s="215"/>
      <c r="G197" s="217"/>
    </row>
    <row r="198" spans="1:7" x14ac:dyDescent="0.25">
      <c r="A198" s="424"/>
      <c r="B198" s="412"/>
      <c r="C198" s="205"/>
      <c r="D198" s="205"/>
      <c r="E198" s="425"/>
      <c r="F198" s="426"/>
      <c r="G198" s="205"/>
    </row>
    <row r="199" spans="1:7" ht="24" x14ac:dyDescent="0.25">
      <c r="A199" s="231" t="s">
        <v>1476</v>
      </c>
      <c r="B199" s="207" t="s">
        <v>14</v>
      </c>
      <c r="C199" s="38" t="s">
        <v>241</v>
      </c>
      <c r="D199" s="207"/>
      <c r="E199" s="216"/>
      <c r="F199" s="215"/>
      <c r="G199" s="217"/>
    </row>
    <row r="200" spans="1:7" x14ac:dyDescent="0.25">
      <c r="A200" s="424"/>
      <c r="B200" s="412"/>
      <c r="C200" s="205"/>
      <c r="D200" s="205"/>
      <c r="E200" s="425"/>
      <c r="F200" s="426"/>
      <c r="G200" s="205"/>
    </row>
    <row r="201" spans="1:7" ht="24" x14ac:dyDescent="0.25">
      <c r="A201" s="108" t="s">
        <v>1477</v>
      </c>
      <c r="B201" s="210" t="s">
        <v>5</v>
      </c>
      <c r="C201" s="119" t="s">
        <v>499</v>
      </c>
      <c r="D201" s="142" t="s">
        <v>87</v>
      </c>
      <c r="E201" s="241">
        <f>ROUND(2.8*2.4,1)</f>
        <v>6.7</v>
      </c>
      <c r="F201" s="242"/>
      <c r="G201" s="232"/>
    </row>
    <row r="202" spans="1:7" x14ac:dyDescent="0.25">
      <c r="A202" s="424"/>
      <c r="B202" s="412"/>
      <c r="C202" s="205"/>
      <c r="D202" s="205"/>
      <c r="E202" s="425"/>
      <c r="F202" s="426"/>
      <c r="G202" s="205"/>
    </row>
    <row r="203" spans="1:7" ht="36" x14ac:dyDescent="0.25">
      <c r="A203" s="108" t="s">
        <v>1478</v>
      </c>
      <c r="B203" s="210" t="s">
        <v>394</v>
      </c>
      <c r="C203" s="233" t="s">
        <v>496</v>
      </c>
      <c r="D203" s="142" t="s">
        <v>87</v>
      </c>
      <c r="E203" s="241">
        <f>E201</f>
        <v>6.7</v>
      </c>
      <c r="F203" s="242"/>
      <c r="G203" s="232"/>
    </row>
    <row r="204" spans="1:7" x14ac:dyDescent="0.25">
      <c r="A204" s="424"/>
      <c r="B204" s="412"/>
      <c r="C204" s="205"/>
      <c r="D204" s="205"/>
      <c r="E204" s="425"/>
      <c r="F204" s="426"/>
      <c r="G204" s="205"/>
    </row>
    <row r="205" spans="1:7" ht="36" x14ac:dyDescent="0.25">
      <c r="A205" s="108" t="s">
        <v>1479</v>
      </c>
      <c r="B205" s="210" t="s">
        <v>2188</v>
      </c>
      <c r="C205" s="233" t="s">
        <v>502</v>
      </c>
      <c r="D205" s="142" t="s">
        <v>8</v>
      </c>
      <c r="E205" s="241">
        <v>1</v>
      </c>
      <c r="F205" s="242"/>
      <c r="G205" s="232"/>
    </row>
    <row r="206" spans="1:7" x14ac:dyDescent="0.25">
      <c r="A206" s="424"/>
      <c r="B206" s="412"/>
      <c r="C206" s="205"/>
      <c r="D206" s="205"/>
      <c r="E206" s="425"/>
      <c r="F206" s="426"/>
      <c r="G206" s="205"/>
    </row>
    <row r="207" spans="1:7" ht="24" x14ac:dyDescent="0.25">
      <c r="A207" s="108" t="s">
        <v>1480</v>
      </c>
      <c r="B207" s="210" t="s">
        <v>500</v>
      </c>
      <c r="C207" s="119" t="s">
        <v>501</v>
      </c>
      <c r="D207" s="142" t="s">
        <v>6</v>
      </c>
      <c r="E207" s="241">
        <v>4</v>
      </c>
      <c r="F207" s="242"/>
      <c r="G207" s="232"/>
    </row>
    <row r="208" spans="1:7" x14ac:dyDescent="0.25">
      <c r="A208" s="424"/>
      <c r="B208" s="412"/>
      <c r="C208" s="205"/>
      <c r="D208" s="205"/>
      <c r="E208" s="425"/>
      <c r="F208" s="426"/>
      <c r="G208" s="205"/>
    </row>
    <row r="209" spans="1:7" ht="24" x14ac:dyDescent="0.25">
      <c r="A209" s="231" t="s">
        <v>1481</v>
      </c>
      <c r="B209" s="207" t="s">
        <v>244</v>
      </c>
      <c r="C209" s="38" t="s">
        <v>9</v>
      </c>
      <c r="D209" s="210"/>
      <c r="E209" s="241"/>
      <c r="F209" s="242"/>
      <c r="G209" s="232"/>
    </row>
    <row r="210" spans="1:7" x14ac:dyDescent="0.25">
      <c r="A210" s="424"/>
      <c r="B210" s="412"/>
      <c r="C210" s="205"/>
      <c r="D210" s="205"/>
      <c r="E210" s="425"/>
      <c r="F210" s="426"/>
      <c r="G210" s="205"/>
    </row>
    <row r="211" spans="1:7" ht="48" x14ac:dyDescent="0.25">
      <c r="A211" s="108" t="s">
        <v>1482</v>
      </c>
      <c r="B211" s="210" t="s">
        <v>11</v>
      </c>
      <c r="C211" s="119" t="s">
        <v>851</v>
      </c>
      <c r="D211" s="142" t="s">
        <v>88</v>
      </c>
      <c r="E211" s="241">
        <f>ROUND(2.8*2.4*2+(6*2*0.9),1)</f>
        <v>24.2</v>
      </c>
      <c r="F211" s="242"/>
      <c r="G211" s="232"/>
    </row>
    <row r="212" spans="1:7" x14ac:dyDescent="0.25">
      <c r="A212" s="424"/>
      <c r="B212" s="412"/>
      <c r="C212" s="205"/>
      <c r="D212" s="205"/>
      <c r="E212" s="425"/>
      <c r="F212" s="426"/>
      <c r="G212" s="205"/>
    </row>
    <row r="213" spans="1:7" ht="36" x14ac:dyDescent="0.25">
      <c r="A213" s="108" t="s">
        <v>1483</v>
      </c>
      <c r="B213" s="210" t="s">
        <v>563</v>
      </c>
      <c r="C213" s="119" t="s">
        <v>790</v>
      </c>
      <c r="D213" s="210" t="s">
        <v>88</v>
      </c>
      <c r="E213" s="219">
        <f>ROUND(2.4*2.8*0.15,1)</f>
        <v>1</v>
      </c>
      <c r="F213" s="274"/>
      <c r="G213" s="255"/>
    </row>
    <row r="214" spans="1:7" ht="11.85" customHeight="1" x14ac:dyDescent="0.25">
      <c r="A214" s="424"/>
      <c r="B214" s="412"/>
      <c r="C214" s="205"/>
      <c r="D214" s="205"/>
      <c r="E214" s="425"/>
      <c r="F214" s="426"/>
      <c r="G214" s="205"/>
    </row>
    <row r="215" spans="1:7" ht="24" x14ac:dyDescent="0.25">
      <c r="A215" s="227" t="s">
        <v>1484</v>
      </c>
      <c r="B215" s="207" t="s">
        <v>148</v>
      </c>
      <c r="C215" s="38" t="s">
        <v>422</v>
      </c>
      <c r="D215" s="215"/>
      <c r="E215" s="216"/>
      <c r="F215" s="215"/>
      <c r="G215" s="217"/>
    </row>
    <row r="216" spans="1:7" ht="11.85" customHeight="1" x14ac:dyDescent="0.25">
      <c r="A216" s="424"/>
      <c r="B216" s="412"/>
      <c r="C216" s="205"/>
      <c r="D216" s="205"/>
      <c r="E216" s="425"/>
      <c r="F216" s="426"/>
      <c r="G216" s="205"/>
    </row>
    <row r="217" spans="1:7" ht="11.85" customHeight="1" x14ac:dyDescent="0.25">
      <c r="A217" s="246"/>
      <c r="B217" s="206">
        <v>8.1999999999999993</v>
      </c>
      <c r="C217" s="218" t="s">
        <v>149</v>
      </c>
      <c r="D217" s="142"/>
      <c r="E217" s="295"/>
      <c r="F217" s="229"/>
      <c r="G217" s="232"/>
    </row>
    <row r="218" spans="1:7" ht="11.85" customHeight="1" x14ac:dyDescent="0.25">
      <c r="A218" s="424"/>
      <c r="B218" s="412"/>
      <c r="C218" s="205"/>
      <c r="D218" s="205"/>
      <c r="E218" s="425"/>
      <c r="F218" s="426"/>
      <c r="G218" s="205"/>
    </row>
    <row r="219" spans="1:7" ht="11.85" customHeight="1" x14ac:dyDescent="0.25">
      <c r="A219" s="246"/>
      <c r="B219" s="206"/>
      <c r="C219" s="154" t="s">
        <v>172</v>
      </c>
      <c r="D219" s="142"/>
      <c r="E219" s="211"/>
      <c r="F219" s="234"/>
      <c r="G219" s="232"/>
    </row>
    <row r="220" spans="1:7" ht="11.85" customHeight="1" x14ac:dyDescent="0.25">
      <c r="A220" s="424"/>
      <c r="B220" s="412"/>
      <c r="C220" s="205"/>
      <c r="D220" s="205"/>
      <c r="E220" s="425"/>
      <c r="F220" s="426"/>
      <c r="G220" s="205"/>
    </row>
    <row r="221" spans="1:7" ht="24" x14ac:dyDescent="0.25">
      <c r="A221" s="214" t="s">
        <v>1485</v>
      </c>
      <c r="B221" s="142" t="s">
        <v>5</v>
      </c>
      <c r="C221" s="233" t="s">
        <v>849</v>
      </c>
      <c r="D221" s="142" t="s">
        <v>87</v>
      </c>
      <c r="E221" s="241">
        <f>+ROUND((2.4*0.3*2)+(2.8*0.3*2),1)</f>
        <v>3.1</v>
      </c>
      <c r="F221" s="234"/>
      <c r="G221" s="232"/>
    </row>
    <row r="222" spans="1:7" ht="11.85" customHeight="1" x14ac:dyDescent="0.25">
      <c r="A222" s="424"/>
      <c r="B222" s="412"/>
      <c r="C222" s="205"/>
      <c r="D222" s="205"/>
      <c r="E222" s="425"/>
      <c r="F222" s="426"/>
      <c r="G222" s="205"/>
    </row>
    <row r="223" spans="1:7" ht="11.85" customHeight="1" x14ac:dyDescent="0.25">
      <c r="A223" s="246"/>
      <c r="B223" s="273" t="s">
        <v>7</v>
      </c>
      <c r="C223" s="257" t="s">
        <v>150</v>
      </c>
      <c r="D223" s="290"/>
      <c r="E223" s="241"/>
      <c r="F223" s="234"/>
      <c r="G223" s="232"/>
    </row>
    <row r="224" spans="1:7" ht="11.85" customHeight="1" x14ac:dyDescent="0.25">
      <c r="A224" s="424"/>
      <c r="B224" s="412"/>
      <c r="C224" s="205"/>
      <c r="D224" s="205"/>
      <c r="E224" s="425"/>
      <c r="F224" s="426"/>
      <c r="G224" s="205"/>
    </row>
    <row r="225" spans="1:7" ht="11.85" customHeight="1" x14ac:dyDescent="0.25">
      <c r="A225" s="246"/>
      <c r="B225" s="221"/>
      <c r="C225" s="275" t="s">
        <v>175</v>
      </c>
      <c r="D225" s="290"/>
      <c r="E225" s="211"/>
      <c r="F225" s="234"/>
      <c r="G225" s="232"/>
    </row>
    <row r="226" spans="1:7" ht="11.85" customHeight="1" x14ac:dyDescent="0.25">
      <c r="A226" s="424"/>
      <c r="B226" s="412"/>
      <c r="C226" s="205"/>
      <c r="D226" s="205"/>
      <c r="E226" s="425"/>
      <c r="F226" s="426"/>
      <c r="G226" s="205"/>
    </row>
    <row r="227" spans="1:7" ht="11.85" customHeight="1" x14ac:dyDescent="0.25">
      <c r="A227" s="214" t="s">
        <v>1486</v>
      </c>
      <c r="B227" s="221"/>
      <c r="C227" s="233" t="s">
        <v>440</v>
      </c>
      <c r="D227" s="142" t="s">
        <v>87</v>
      </c>
      <c r="E227" s="211">
        <f>+ROUND((1.5*2.8*2)+(1.5*2.4*2)+(1.5*2.3*2)+(1.5*1.9*2),1)</f>
        <v>28.2</v>
      </c>
      <c r="F227" s="234"/>
      <c r="G227" s="232"/>
    </row>
    <row r="228" spans="1:7" ht="11.85" customHeight="1" x14ac:dyDescent="0.25">
      <c r="A228" s="424"/>
      <c r="B228" s="412"/>
      <c r="C228" s="205"/>
      <c r="D228" s="205"/>
      <c r="E228" s="425"/>
      <c r="F228" s="426"/>
      <c r="G228" s="205"/>
    </row>
    <row r="229" spans="1:7" ht="11.85" customHeight="1" x14ac:dyDescent="0.25">
      <c r="A229" s="214" t="s">
        <v>1487</v>
      </c>
      <c r="B229" s="221"/>
      <c r="C229" s="233" t="s">
        <v>441</v>
      </c>
      <c r="D229" s="142" t="s">
        <v>87</v>
      </c>
      <c r="E229" s="211">
        <f>+ROUND((2.4*0.2*2)+(2.8*0.2*2),1)</f>
        <v>2.1</v>
      </c>
      <c r="F229" s="234"/>
      <c r="G229" s="232"/>
    </row>
    <row r="230" spans="1:7" ht="11.85" customHeight="1" x14ac:dyDescent="0.25">
      <c r="A230" s="424"/>
      <c r="B230" s="412"/>
      <c r="C230" s="205"/>
      <c r="D230" s="205"/>
      <c r="E230" s="425"/>
      <c r="F230" s="426"/>
      <c r="G230" s="205"/>
    </row>
    <row r="231" spans="1:7" ht="11.85" customHeight="1" x14ac:dyDescent="0.25">
      <c r="A231" s="246"/>
      <c r="B231" s="229"/>
      <c r="C231" s="258" t="s">
        <v>176</v>
      </c>
      <c r="D231" s="290"/>
      <c r="E231" s="241"/>
      <c r="F231" s="234"/>
      <c r="G231" s="232"/>
    </row>
    <row r="232" spans="1:7" ht="11.85" customHeight="1" x14ac:dyDescent="0.25">
      <c r="A232" s="424"/>
      <c r="B232" s="412"/>
      <c r="C232" s="205"/>
      <c r="D232" s="205"/>
      <c r="E232" s="425"/>
      <c r="F232" s="426"/>
      <c r="G232" s="205"/>
    </row>
    <row r="233" spans="1:7" ht="11.85" customHeight="1" x14ac:dyDescent="0.25">
      <c r="A233" s="214" t="s">
        <v>1488</v>
      </c>
      <c r="B233" s="229"/>
      <c r="C233" s="220" t="s">
        <v>442</v>
      </c>
      <c r="D233" s="142" t="s">
        <v>87</v>
      </c>
      <c r="E233" s="241">
        <f>+ROUND(2.4*1.9,1)</f>
        <v>4.5999999999999996</v>
      </c>
      <c r="F233" s="234"/>
      <c r="G233" s="232"/>
    </row>
    <row r="234" spans="1:7" ht="11.85" customHeight="1" x14ac:dyDescent="0.25">
      <c r="A234" s="424"/>
      <c r="B234" s="412"/>
      <c r="C234" s="205"/>
      <c r="D234" s="205"/>
      <c r="E234" s="425"/>
      <c r="F234" s="426"/>
      <c r="G234" s="205"/>
    </row>
    <row r="235" spans="1:7" ht="11.85" customHeight="1" x14ac:dyDescent="0.25">
      <c r="A235" s="246"/>
      <c r="B235" s="229"/>
      <c r="C235" s="220"/>
      <c r="D235" s="142"/>
      <c r="E235" s="241"/>
      <c r="F235" s="234"/>
      <c r="G235" s="232"/>
    </row>
    <row r="236" spans="1:7" ht="28.5" customHeight="1" x14ac:dyDescent="0.25">
      <c r="A236" s="526" t="s">
        <v>165</v>
      </c>
      <c r="B236" s="526"/>
      <c r="C236" s="526"/>
      <c r="D236" s="526"/>
      <c r="E236" s="526"/>
      <c r="F236" s="526"/>
      <c r="G236" s="330"/>
    </row>
    <row r="237" spans="1:7" ht="28.5" customHeight="1" x14ac:dyDescent="0.25">
      <c r="A237" s="526" t="s">
        <v>166</v>
      </c>
      <c r="B237" s="526"/>
      <c r="C237" s="526"/>
      <c r="D237" s="526"/>
      <c r="E237" s="526"/>
      <c r="F237" s="526"/>
      <c r="G237" s="330"/>
    </row>
    <row r="238" spans="1:7" ht="11.85" customHeight="1" x14ac:dyDescent="0.25">
      <c r="A238" s="424"/>
      <c r="B238" s="412"/>
      <c r="C238" s="205"/>
      <c r="D238" s="205"/>
      <c r="E238" s="425"/>
      <c r="F238" s="426"/>
      <c r="G238" s="205"/>
    </row>
    <row r="239" spans="1:7" ht="11.85" customHeight="1" x14ac:dyDescent="0.25">
      <c r="A239" s="246"/>
      <c r="B239" s="273" t="s">
        <v>476</v>
      </c>
      <c r="C239" s="279" t="s">
        <v>403</v>
      </c>
      <c r="D239" s="290"/>
      <c r="E239" s="241"/>
      <c r="F239" s="234"/>
      <c r="G239" s="232"/>
    </row>
    <row r="240" spans="1:7" ht="11.85" customHeight="1" x14ac:dyDescent="0.25">
      <c r="A240" s="424"/>
      <c r="B240" s="412"/>
      <c r="C240" s="205"/>
      <c r="D240" s="205"/>
      <c r="E240" s="425"/>
      <c r="F240" s="426"/>
      <c r="G240" s="205"/>
    </row>
    <row r="241" spans="1:7" ht="36" x14ac:dyDescent="0.25">
      <c r="A241" s="246"/>
      <c r="B241" s="229"/>
      <c r="C241" s="258" t="s">
        <v>443</v>
      </c>
      <c r="D241" s="142"/>
      <c r="E241" s="241"/>
      <c r="F241" s="234"/>
      <c r="G241" s="232"/>
    </row>
    <row r="242" spans="1:7" ht="11.85" customHeight="1" x14ac:dyDescent="0.25">
      <c r="A242" s="424"/>
      <c r="B242" s="412"/>
      <c r="C242" s="205"/>
      <c r="D242" s="205"/>
      <c r="E242" s="425"/>
      <c r="F242" s="426"/>
      <c r="G242" s="205"/>
    </row>
    <row r="243" spans="1:7" ht="24" x14ac:dyDescent="0.25">
      <c r="A243" s="214" t="s">
        <v>1489</v>
      </c>
      <c r="B243" s="215"/>
      <c r="C243" s="119" t="s">
        <v>850</v>
      </c>
      <c r="D243" s="142" t="s">
        <v>8</v>
      </c>
      <c r="E243" s="241">
        <v>3</v>
      </c>
      <c r="F243" s="234"/>
      <c r="G243" s="232"/>
    </row>
    <row r="244" spans="1:7" ht="11.85" customHeight="1" x14ac:dyDescent="0.25">
      <c r="A244" s="424"/>
      <c r="B244" s="412"/>
      <c r="C244" s="205"/>
      <c r="D244" s="205"/>
      <c r="E244" s="425"/>
      <c r="F244" s="426"/>
      <c r="G244" s="205"/>
    </row>
    <row r="245" spans="1:7" ht="36" x14ac:dyDescent="0.25">
      <c r="A245" s="214" t="s">
        <v>1490</v>
      </c>
      <c r="B245" s="215"/>
      <c r="C245" s="135" t="s">
        <v>2373</v>
      </c>
      <c r="D245" s="142" t="s">
        <v>8</v>
      </c>
      <c r="E245" s="241">
        <v>1</v>
      </c>
      <c r="F245" s="234"/>
      <c r="G245" s="232"/>
    </row>
    <row r="246" spans="1:7" x14ac:dyDescent="0.25">
      <c r="A246" s="424"/>
      <c r="B246" s="412"/>
      <c r="C246" s="205"/>
      <c r="D246" s="205"/>
      <c r="E246" s="425"/>
      <c r="F246" s="426"/>
      <c r="G246" s="205"/>
    </row>
    <row r="247" spans="1:7" x14ac:dyDescent="0.25">
      <c r="A247" s="214" t="s">
        <v>1491</v>
      </c>
      <c r="B247" s="215"/>
      <c r="C247" s="119" t="s">
        <v>478</v>
      </c>
      <c r="D247" s="142" t="s">
        <v>8</v>
      </c>
      <c r="E247" s="241">
        <v>1</v>
      </c>
      <c r="F247" s="234"/>
      <c r="G247" s="232"/>
    </row>
    <row r="248" spans="1:7" x14ac:dyDescent="0.25">
      <c r="A248" s="424"/>
      <c r="B248" s="412"/>
      <c r="C248" s="205"/>
      <c r="D248" s="205"/>
      <c r="E248" s="425"/>
      <c r="F248" s="426"/>
      <c r="G248" s="205"/>
    </row>
    <row r="249" spans="1:7" ht="11.85" customHeight="1" x14ac:dyDescent="0.25">
      <c r="A249" s="214"/>
      <c r="B249" s="207">
        <v>8.3000000000000007</v>
      </c>
      <c r="C249" s="38" t="s">
        <v>151</v>
      </c>
      <c r="D249" s="210"/>
      <c r="E249" s="219"/>
      <c r="F249" s="274"/>
      <c r="G249" s="233"/>
    </row>
    <row r="250" spans="1:7" ht="11.85" customHeight="1" x14ac:dyDescent="0.25">
      <c r="A250" s="424"/>
      <c r="B250" s="412"/>
      <c r="C250" s="205"/>
      <c r="D250" s="205"/>
      <c r="E250" s="425"/>
      <c r="F250" s="426"/>
      <c r="G250" s="205"/>
    </row>
    <row r="251" spans="1:7" x14ac:dyDescent="0.25">
      <c r="A251" s="214"/>
      <c r="B251" s="210"/>
      <c r="C251" s="258" t="s">
        <v>406</v>
      </c>
      <c r="D251" s="210"/>
      <c r="E251" s="219"/>
      <c r="F251" s="274"/>
      <c r="G251" s="233"/>
    </row>
    <row r="252" spans="1:7" ht="11.85" customHeight="1" x14ac:dyDescent="0.25">
      <c r="A252" s="424"/>
      <c r="B252" s="412"/>
      <c r="C252" s="205"/>
      <c r="D252" s="205"/>
      <c r="E252" s="425"/>
      <c r="F252" s="426"/>
      <c r="G252" s="205"/>
    </row>
    <row r="253" spans="1:7" x14ac:dyDescent="0.25">
      <c r="A253" s="214" t="s">
        <v>1492</v>
      </c>
      <c r="B253" s="210" t="s">
        <v>26</v>
      </c>
      <c r="C253" s="119" t="s">
        <v>177</v>
      </c>
      <c r="D253" s="210" t="s">
        <v>92</v>
      </c>
      <c r="E253" s="219">
        <f>+ROUND((2.4*2.8*0.13)+(2.35*1.5*0.15),1)</f>
        <v>1.4</v>
      </c>
      <c r="F253" s="274"/>
      <c r="G253" s="255"/>
    </row>
    <row r="254" spans="1:7" ht="11.85" customHeight="1" x14ac:dyDescent="0.25">
      <c r="A254" s="424"/>
      <c r="B254" s="412"/>
      <c r="C254" s="205"/>
      <c r="D254" s="205"/>
      <c r="E254" s="425"/>
      <c r="F254" s="426"/>
      <c r="G254" s="205"/>
    </row>
    <row r="255" spans="1:7" ht="24" x14ac:dyDescent="0.25">
      <c r="A255" s="214" t="s">
        <v>1493</v>
      </c>
      <c r="B255" s="142" t="s">
        <v>477</v>
      </c>
      <c r="C255" s="119" t="s">
        <v>444</v>
      </c>
      <c r="D255" s="229" t="s">
        <v>87</v>
      </c>
      <c r="E255" s="219">
        <f>+ROUND(2.4*2.8*2,1)</f>
        <v>13.4</v>
      </c>
      <c r="F255" s="274"/>
      <c r="G255" s="255"/>
    </row>
    <row r="256" spans="1:7" ht="11.85" customHeight="1" x14ac:dyDescent="0.25">
      <c r="A256" s="424"/>
      <c r="B256" s="412"/>
      <c r="C256" s="205"/>
      <c r="D256" s="205"/>
      <c r="E256" s="425"/>
      <c r="F256" s="426"/>
      <c r="G256" s="205"/>
    </row>
    <row r="257" spans="1:7" ht="11.85" customHeight="1" x14ac:dyDescent="0.25">
      <c r="A257" s="108"/>
      <c r="B257" s="207">
        <v>8.4</v>
      </c>
      <c r="C257" s="38" t="s">
        <v>152</v>
      </c>
      <c r="D257" s="210"/>
      <c r="E257" s="219"/>
      <c r="F257" s="274"/>
      <c r="G257" s="233"/>
    </row>
    <row r="258" spans="1:7" ht="11.85" customHeight="1" x14ac:dyDescent="0.25">
      <c r="A258" s="424"/>
      <c r="B258" s="412"/>
      <c r="C258" s="205"/>
      <c r="D258" s="205"/>
      <c r="E258" s="425"/>
      <c r="F258" s="426"/>
      <c r="G258" s="205"/>
    </row>
    <row r="259" spans="1:7" ht="11.85" customHeight="1" x14ac:dyDescent="0.25">
      <c r="A259" s="108"/>
      <c r="B259" s="210"/>
      <c r="C259" s="258" t="s">
        <v>407</v>
      </c>
      <c r="D259" s="210"/>
      <c r="E259" s="219"/>
      <c r="F259" s="274"/>
      <c r="G259" s="281"/>
    </row>
    <row r="260" spans="1:7" ht="11.85" customHeight="1" x14ac:dyDescent="0.25">
      <c r="A260" s="424"/>
      <c r="B260" s="412"/>
      <c r="C260" s="205"/>
      <c r="D260" s="205"/>
      <c r="E260" s="425"/>
      <c r="F260" s="426"/>
      <c r="G260" s="205"/>
    </row>
    <row r="261" spans="1:7" ht="24" x14ac:dyDescent="0.25">
      <c r="A261" s="108" t="s">
        <v>1494</v>
      </c>
      <c r="B261" s="210" t="s">
        <v>52</v>
      </c>
      <c r="C261" s="119" t="s">
        <v>445</v>
      </c>
      <c r="D261" s="142" t="s">
        <v>88</v>
      </c>
      <c r="E261" s="219">
        <f>+ROUND(2.4*2.8*0.05,1)</f>
        <v>0.3</v>
      </c>
      <c r="F261" s="274"/>
      <c r="G261" s="255"/>
    </row>
    <row r="262" spans="1:7" ht="11.85" customHeight="1" x14ac:dyDescent="0.25">
      <c r="A262" s="424"/>
      <c r="B262" s="412"/>
      <c r="C262" s="205"/>
      <c r="D262" s="205"/>
      <c r="E262" s="425"/>
      <c r="F262" s="426"/>
      <c r="G262" s="205"/>
    </row>
    <row r="263" spans="1:7" ht="24" x14ac:dyDescent="0.25">
      <c r="A263" s="108" t="s">
        <v>1495</v>
      </c>
      <c r="B263" s="210" t="s">
        <v>94</v>
      </c>
      <c r="C263" s="119" t="s">
        <v>446</v>
      </c>
      <c r="D263" s="142" t="s">
        <v>88</v>
      </c>
      <c r="E263" s="186">
        <f>+ROUND((2.4*2.8*0.25)+(2.35*1.5)+(2.4*2.8*0.2),1)</f>
        <v>6.5</v>
      </c>
      <c r="F263" s="234"/>
      <c r="G263" s="255"/>
    </row>
    <row r="264" spans="1:7" ht="11.85" customHeight="1" x14ac:dyDescent="0.25">
      <c r="A264" s="424"/>
      <c r="B264" s="412"/>
      <c r="C264" s="205"/>
      <c r="D264" s="205"/>
      <c r="E264" s="425"/>
      <c r="F264" s="426"/>
      <c r="G264" s="205"/>
    </row>
    <row r="265" spans="1:7" ht="24.75" customHeight="1" x14ac:dyDescent="0.25">
      <c r="A265" s="108" t="s">
        <v>1496</v>
      </c>
      <c r="B265" s="210" t="s">
        <v>58</v>
      </c>
      <c r="C265" s="119" t="s">
        <v>447</v>
      </c>
      <c r="D265" s="229" t="s">
        <v>87</v>
      </c>
      <c r="E265" s="186">
        <f>+ROUND(2.35+(2.4*2.8),1)</f>
        <v>9.1</v>
      </c>
      <c r="F265" s="234"/>
      <c r="G265" s="255"/>
    </row>
    <row r="266" spans="1:7" ht="11.85" customHeight="1" x14ac:dyDescent="0.25">
      <c r="A266" s="424"/>
      <c r="B266" s="412"/>
      <c r="C266" s="205"/>
      <c r="D266" s="205"/>
      <c r="E266" s="425"/>
      <c r="F266" s="426"/>
      <c r="G266" s="205"/>
    </row>
    <row r="267" spans="1:7" ht="11.85" customHeight="1" x14ac:dyDescent="0.25">
      <c r="A267" s="108"/>
      <c r="B267" s="207">
        <v>8.5</v>
      </c>
      <c r="C267" s="218" t="s">
        <v>448</v>
      </c>
      <c r="D267" s="229"/>
      <c r="E267" s="186"/>
      <c r="F267" s="234"/>
      <c r="G267" s="232"/>
    </row>
    <row r="268" spans="1:7" ht="11.85" customHeight="1" x14ac:dyDescent="0.25">
      <c r="A268" s="424"/>
      <c r="B268" s="412"/>
      <c r="C268" s="205"/>
      <c r="D268" s="205"/>
      <c r="E268" s="425"/>
      <c r="F268" s="426"/>
      <c r="G268" s="205"/>
    </row>
    <row r="269" spans="1:7" ht="24" x14ac:dyDescent="0.25">
      <c r="A269" s="108" t="s">
        <v>1497</v>
      </c>
      <c r="B269" s="229"/>
      <c r="C269" s="119" t="s">
        <v>449</v>
      </c>
      <c r="D269" s="210" t="s">
        <v>6</v>
      </c>
      <c r="E269" s="186">
        <v>9.4</v>
      </c>
      <c r="F269" s="234"/>
      <c r="G269" s="255"/>
    </row>
    <row r="270" spans="1:7" x14ac:dyDescent="0.25">
      <c r="A270" s="424"/>
      <c r="B270" s="412"/>
      <c r="C270" s="205"/>
      <c r="D270" s="205"/>
      <c r="E270" s="425"/>
      <c r="F270" s="426"/>
      <c r="G270" s="205"/>
    </row>
    <row r="271" spans="1:7" ht="24" x14ac:dyDescent="0.25">
      <c r="A271" s="108" t="s">
        <v>1498</v>
      </c>
      <c r="B271" s="229">
        <v>8.6999999999999993</v>
      </c>
      <c r="C271" s="119" t="s">
        <v>453</v>
      </c>
      <c r="D271" s="210" t="s">
        <v>28</v>
      </c>
      <c r="E271" s="186">
        <v>1</v>
      </c>
      <c r="F271" s="234"/>
      <c r="G271" s="255"/>
    </row>
    <row r="272" spans="1:7" x14ac:dyDescent="0.25">
      <c r="A272" s="404"/>
      <c r="B272" s="414"/>
      <c r="C272" s="254"/>
      <c r="D272" s="251"/>
      <c r="E272" s="466"/>
      <c r="F272" s="237"/>
      <c r="G272" s="252"/>
    </row>
    <row r="273" spans="1:7" x14ac:dyDescent="0.25">
      <c r="A273" s="108"/>
      <c r="B273" s="229"/>
      <c r="C273" s="119"/>
      <c r="D273" s="210"/>
      <c r="E273" s="186"/>
      <c r="F273" s="234"/>
      <c r="G273" s="255"/>
    </row>
    <row r="274" spans="1:7" x14ac:dyDescent="0.25">
      <c r="A274" s="404"/>
      <c r="B274" s="414"/>
      <c r="C274" s="254"/>
      <c r="D274" s="251"/>
      <c r="E274" s="466"/>
      <c r="F274" s="237"/>
      <c r="G274" s="252"/>
    </row>
    <row r="275" spans="1:7" x14ac:dyDescent="0.25">
      <c r="A275" s="108"/>
      <c r="B275" s="229"/>
      <c r="C275" s="119"/>
      <c r="D275" s="210"/>
      <c r="E275" s="186"/>
      <c r="F275" s="234"/>
      <c r="G275" s="255"/>
    </row>
    <row r="276" spans="1:7" x14ac:dyDescent="0.25">
      <c r="A276" s="404"/>
      <c r="B276" s="414"/>
      <c r="C276" s="254"/>
      <c r="D276" s="251"/>
      <c r="E276" s="466"/>
      <c r="F276" s="237"/>
      <c r="G276" s="252"/>
    </row>
    <row r="277" spans="1:7" x14ac:dyDescent="0.25">
      <c r="A277" s="108"/>
      <c r="B277" s="229"/>
      <c r="C277" s="119"/>
      <c r="D277" s="210"/>
      <c r="E277" s="186"/>
      <c r="F277" s="234"/>
      <c r="G277" s="255"/>
    </row>
    <row r="278" spans="1:7" ht="11.85" customHeight="1" x14ac:dyDescent="0.25">
      <c r="A278" s="424"/>
      <c r="B278" s="412"/>
      <c r="C278" s="205"/>
      <c r="D278" s="205"/>
      <c r="E278" s="425"/>
      <c r="F278" s="426"/>
      <c r="G278" s="205"/>
    </row>
    <row r="279" spans="1:7" ht="28.5" customHeight="1" x14ac:dyDescent="0.25">
      <c r="A279" s="526" t="s">
        <v>165</v>
      </c>
      <c r="B279" s="526"/>
      <c r="C279" s="526"/>
      <c r="D279" s="526"/>
      <c r="E279" s="526"/>
      <c r="F279" s="526"/>
      <c r="G279" s="330"/>
    </row>
    <row r="280" spans="1:7" ht="28.5" customHeight="1" x14ac:dyDescent="0.25">
      <c r="A280" s="526" t="s">
        <v>166</v>
      </c>
      <c r="B280" s="526"/>
      <c r="C280" s="526"/>
      <c r="D280" s="526"/>
      <c r="E280" s="526"/>
      <c r="F280" s="526"/>
      <c r="G280" s="330"/>
    </row>
    <row r="281" spans="1:7" ht="11.85" customHeight="1" x14ac:dyDescent="0.25">
      <c r="A281" s="424"/>
      <c r="B281" s="204"/>
      <c r="C281" s="205"/>
      <c r="D281" s="205"/>
      <c r="E281" s="425"/>
      <c r="F281" s="426"/>
      <c r="G281" s="205"/>
    </row>
    <row r="282" spans="1:7" ht="11.85" customHeight="1" x14ac:dyDescent="0.25">
      <c r="A282" s="108"/>
      <c r="B282" s="229"/>
      <c r="C282" s="218" t="s">
        <v>450</v>
      </c>
      <c r="D282" s="210"/>
      <c r="E282" s="186"/>
      <c r="F282" s="234"/>
      <c r="G282" s="232"/>
    </row>
    <row r="283" spans="1:7" ht="11.85" customHeight="1" x14ac:dyDescent="0.25">
      <c r="A283" s="424"/>
      <c r="B283" s="412"/>
      <c r="C283" s="205"/>
      <c r="D283" s="205"/>
      <c r="E283" s="425"/>
      <c r="F283" s="426"/>
      <c r="G283" s="205"/>
    </row>
    <row r="284" spans="1:7" ht="48.75" customHeight="1" x14ac:dyDescent="0.25">
      <c r="A284" s="108" t="s">
        <v>1499</v>
      </c>
      <c r="B284" s="229"/>
      <c r="C284" s="233" t="s">
        <v>2126</v>
      </c>
      <c r="D284" s="210" t="s">
        <v>28</v>
      </c>
      <c r="E284" s="186">
        <v>1</v>
      </c>
      <c r="F284" s="234"/>
      <c r="G284" s="255"/>
    </row>
    <row r="285" spans="1:7" ht="11.85" customHeight="1" x14ac:dyDescent="0.25">
      <c r="A285" s="424"/>
      <c r="B285" s="412"/>
      <c r="C285" s="205"/>
      <c r="D285" s="205"/>
      <c r="E285" s="425"/>
      <c r="F285" s="426"/>
      <c r="G285" s="205"/>
    </row>
    <row r="286" spans="1:7" ht="36" x14ac:dyDescent="0.25">
      <c r="A286" s="108" t="s">
        <v>1500</v>
      </c>
      <c r="B286" s="229"/>
      <c r="C286" s="233" t="s">
        <v>451</v>
      </c>
      <c r="D286" s="210" t="s">
        <v>8</v>
      </c>
      <c r="E286" s="186">
        <v>1</v>
      </c>
      <c r="F286" s="234"/>
      <c r="G286" s="255"/>
    </row>
    <row r="287" spans="1:7" x14ac:dyDescent="0.25">
      <c r="A287" s="424"/>
      <c r="B287" s="412"/>
      <c r="C287" s="205"/>
      <c r="D287" s="205"/>
      <c r="E287" s="425"/>
      <c r="F287" s="426"/>
      <c r="G287" s="205"/>
    </row>
    <row r="288" spans="1:7" ht="24" x14ac:dyDescent="0.25">
      <c r="A288" s="108" t="s">
        <v>1500</v>
      </c>
      <c r="B288" s="229"/>
      <c r="C288" s="233" t="s">
        <v>452</v>
      </c>
      <c r="D288" s="210" t="s">
        <v>8</v>
      </c>
      <c r="E288" s="186">
        <v>2</v>
      </c>
      <c r="F288" s="234"/>
      <c r="G288" s="255"/>
    </row>
    <row r="289" spans="1:7" x14ac:dyDescent="0.25">
      <c r="A289" s="424"/>
      <c r="B289" s="412"/>
      <c r="C289" s="205"/>
      <c r="D289" s="205"/>
      <c r="E289" s="425"/>
      <c r="F289" s="426"/>
      <c r="G289" s="205"/>
    </row>
    <row r="290" spans="1:7" ht="24" x14ac:dyDescent="0.25">
      <c r="A290" s="231" t="s">
        <v>1501</v>
      </c>
      <c r="B290" s="207" t="s">
        <v>3</v>
      </c>
      <c r="C290" s="38" t="s">
        <v>4</v>
      </c>
      <c r="D290" s="229"/>
      <c r="E290" s="186"/>
      <c r="F290" s="234"/>
      <c r="G290" s="232"/>
    </row>
    <row r="291" spans="1:7" ht="11.85" customHeight="1" x14ac:dyDescent="0.25">
      <c r="A291" s="424"/>
      <c r="B291" s="412"/>
      <c r="C291" s="205"/>
      <c r="D291" s="205"/>
      <c r="E291" s="425"/>
      <c r="F291" s="426"/>
      <c r="G291" s="205"/>
    </row>
    <row r="292" spans="1:7" ht="24" x14ac:dyDescent="0.25">
      <c r="A292" s="108"/>
      <c r="B292" s="207" t="s">
        <v>13</v>
      </c>
      <c r="C292" s="38" t="s">
        <v>412</v>
      </c>
      <c r="D292" s="229"/>
      <c r="E292" s="186"/>
      <c r="F292" s="234"/>
      <c r="G292" s="232"/>
    </row>
    <row r="293" spans="1:7" ht="11.85" customHeight="1" x14ac:dyDescent="0.25">
      <c r="A293" s="424"/>
      <c r="B293" s="412"/>
      <c r="C293" s="205"/>
      <c r="D293" s="205"/>
      <c r="E293" s="425"/>
      <c r="F293" s="426"/>
      <c r="G293" s="205"/>
    </row>
    <row r="294" spans="1:7" ht="11.85" customHeight="1" x14ac:dyDescent="0.25">
      <c r="A294" s="108"/>
      <c r="B294" s="210"/>
      <c r="C294" s="220" t="s">
        <v>413</v>
      </c>
      <c r="D294" s="229"/>
      <c r="E294" s="186"/>
      <c r="F294" s="234"/>
      <c r="G294" s="232"/>
    </row>
    <row r="295" spans="1:7" ht="11.85" customHeight="1" x14ac:dyDescent="0.25">
      <c r="A295" s="424"/>
      <c r="B295" s="412"/>
      <c r="C295" s="205"/>
      <c r="D295" s="205"/>
      <c r="E295" s="425"/>
      <c r="F295" s="426"/>
      <c r="G295" s="205"/>
    </row>
    <row r="296" spans="1:7" ht="28.5" customHeight="1" x14ac:dyDescent="0.25">
      <c r="A296" s="108"/>
      <c r="B296" s="210"/>
      <c r="C296" s="119" t="s">
        <v>454</v>
      </c>
      <c r="D296" s="229"/>
      <c r="E296" s="186"/>
      <c r="F296" s="234"/>
      <c r="G296" s="232"/>
    </row>
    <row r="297" spans="1:7" ht="11.85" customHeight="1" x14ac:dyDescent="0.25">
      <c r="A297" s="424"/>
      <c r="B297" s="412"/>
      <c r="C297" s="205"/>
      <c r="D297" s="205"/>
      <c r="E297" s="425"/>
      <c r="F297" s="426"/>
      <c r="G297" s="205"/>
    </row>
    <row r="298" spans="1:7" ht="24" x14ac:dyDescent="0.25">
      <c r="A298" s="108"/>
      <c r="B298" s="210"/>
      <c r="C298" s="119" t="s">
        <v>823</v>
      </c>
      <c r="D298" s="229"/>
      <c r="E298" s="186"/>
      <c r="F298" s="234"/>
      <c r="G298" s="232"/>
    </row>
    <row r="299" spans="1:7" ht="11.85" customHeight="1" x14ac:dyDescent="0.25">
      <c r="A299" s="424"/>
      <c r="B299" s="412"/>
      <c r="C299" s="205"/>
      <c r="D299" s="205"/>
      <c r="E299" s="425"/>
      <c r="F299" s="426"/>
      <c r="G299" s="205"/>
    </row>
    <row r="300" spans="1:7" ht="11.85" customHeight="1" x14ac:dyDescent="0.25">
      <c r="A300" s="108"/>
      <c r="B300" s="210"/>
      <c r="C300" s="220" t="s">
        <v>414</v>
      </c>
      <c r="D300" s="229"/>
      <c r="E300" s="186"/>
      <c r="F300" s="234"/>
      <c r="G300" s="232"/>
    </row>
    <row r="301" spans="1:7" ht="11.85" customHeight="1" x14ac:dyDescent="0.25">
      <c r="A301" s="424"/>
      <c r="B301" s="412"/>
      <c r="C301" s="205"/>
      <c r="D301" s="205"/>
      <c r="E301" s="425"/>
      <c r="F301" s="426"/>
      <c r="G301" s="205"/>
    </row>
    <row r="302" spans="1:7" ht="38.25" customHeight="1" x14ac:dyDescent="0.25">
      <c r="A302" s="108"/>
      <c r="B302" s="210"/>
      <c r="C302" s="119" t="s">
        <v>895</v>
      </c>
      <c r="D302" s="229"/>
      <c r="E302" s="186"/>
      <c r="F302" s="234"/>
      <c r="G302" s="232"/>
    </row>
    <row r="303" spans="1:7" ht="11.85" customHeight="1" x14ac:dyDescent="0.25">
      <c r="A303" s="424"/>
      <c r="B303" s="412"/>
      <c r="C303" s="205"/>
      <c r="D303" s="205"/>
      <c r="E303" s="425"/>
      <c r="F303" s="426"/>
      <c r="G303" s="205"/>
    </row>
    <row r="304" spans="1:7" ht="36" x14ac:dyDescent="0.25">
      <c r="A304" s="108" t="s">
        <v>1502</v>
      </c>
      <c r="B304" s="229"/>
      <c r="C304" s="233" t="s">
        <v>455</v>
      </c>
      <c r="D304" s="210" t="s">
        <v>8</v>
      </c>
      <c r="E304" s="186">
        <v>1</v>
      </c>
      <c r="F304" s="234"/>
      <c r="G304" s="255"/>
    </row>
    <row r="305" spans="1:7" ht="11.85" customHeight="1" x14ac:dyDescent="0.25">
      <c r="A305" s="424"/>
      <c r="B305" s="412"/>
      <c r="C305" s="205"/>
      <c r="D305" s="205"/>
      <c r="E305" s="425"/>
      <c r="F305" s="426"/>
      <c r="G305" s="205"/>
    </row>
    <row r="306" spans="1:7" ht="24" x14ac:dyDescent="0.25">
      <c r="A306" s="108" t="s">
        <v>1503</v>
      </c>
      <c r="B306" s="229"/>
      <c r="C306" s="233" t="s">
        <v>456</v>
      </c>
      <c r="D306" s="210" t="s">
        <v>8</v>
      </c>
      <c r="E306" s="186">
        <v>1</v>
      </c>
      <c r="F306" s="234"/>
      <c r="G306" s="255"/>
    </row>
    <row r="307" spans="1:7" ht="11.85" customHeight="1" x14ac:dyDescent="0.25">
      <c r="A307" s="424"/>
      <c r="B307" s="412"/>
      <c r="C307" s="205"/>
      <c r="D307" s="205"/>
      <c r="E307" s="425"/>
      <c r="F307" s="426"/>
      <c r="G307" s="205"/>
    </row>
    <row r="308" spans="1:7" ht="36" x14ac:dyDescent="0.25">
      <c r="A308" s="108" t="s">
        <v>1504</v>
      </c>
      <c r="B308" s="229"/>
      <c r="C308" s="233" t="s">
        <v>457</v>
      </c>
      <c r="D308" s="210" t="s">
        <v>8</v>
      </c>
      <c r="E308" s="186">
        <v>2</v>
      </c>
      <c r="F308" s="234"/>
      <c r="G308" s="255"/>
    </row>
    <row r="309" spans="1:7" ht="11.85" customHeight="1" x14ac:dyDescent="0.25">
      <c r="A309" s="424"/>
      <c r="B309" s="412"/>
      <c r="C309" s="205"/>
      <c r="D309" s="205"/>
      <c r="E309" s="425"/>
      <c r="F309" s="426"/>
      <c r="G309" s="205"/>
    </row>
    <row r="310" spans="1:7" ht="24" x14ac:dyDescent="0.25">
      <c r="A310" s="108" t="s">
        <v>1505</v>
      </c>
      <c r="B310" s="229"/>
      <c r="C310" s="233" t="s">
        <v>458</v>
      </c>
      <c r="D310" s="210" t="s">
        <v>8</v>
      </c>
      <c r="E310" s="186">
        <v>1</v>
      </c>
      <c r="F310" s="234"/>
      <c r="G310" s="255"/>
    </row>
    <row r="311" spans="1:7" ht="11.85" customHeight="1" x14ac:dyDescent="0.25">
      <c r="A311" s="424"/>
      <c r="B311" s="412"/>
      <c r="C311" s="205"/>
      <c r="D311" s="205"/>
      <c r="E311" s="425"/>
      <c r="F311" s="426"/>
      <c r="G311" s="205"/>
    </row>
    <row r="312" spans="1:7" ht="24" x14ac:dyDescent="0.25">
      <c r="A312" s="108" t="s">
        <v>1506</v>
      </c>
      <c r="B312" s="229"/>
      <c r="C312" s="233" t="s">
        <v>459</v>
      </c>
      <c r="D312" s="210" t="s">
        <v>8</v>
      </c>
      <c r="E312" s="186">
        <v>2</v>
      </c>
      <c r="F312" s="234"/>
      <c r="G312" s="255"/>
    </row>
    <row r="313" spans="1:7" x14ac:dyDescent="0.25">
      <c r="A313" s="404"/>
      <c r="B313" s="414"/>
      <c r="C313" s="287"/>
      <c r="D313" s="251"/>
      <c r="E313" s="466"/>
      <c r="F313" s="237"/>
      <c r="G313" s="252"/>
    </row>
    <row r="314" spans="1:7" ht="28.5" customHeight="1" x14ac:dyDescent="0.25">
      <c r="A314" s="526" t="s">
        <v>165</v>
      </c>
      <c r="B314" s="526"/>
      <c r="C314" s="526"/>
      <c r="D314" s="526"/>
      <c r="E314" s="526"/>
      <c r="F314" s="526"/>
      <c r="G314" s="330"/>
    </row>
    <row r="315" spans="1:7" ht="28.5" customHeight="1" x14ac:dyDescent="0.25">
      <c r="A315" s="526" t="s">
        <v>166</v>
      </c>
      <c r="B315" s="526"/>
      <c r="C315" s="526"/>
      <c r="D315" s="526"/>
      <c r="E315" s="526"/>
      <c r="F315" s="526"/>
      <c r="G315" s="330"/>
    </row>
    <row r="316" spans="1:7" ht="11.85" customHeight="1" x14ac:dyDescent="0.25">
      <c r="A316" s="424"/>
      <c r="B316" s="204"/>
      <c r="C316" s="205"/>
      <c r="D316" s="205"/>
      <c r="E316" s="425"/>
      <c r="F316" s="426"/>
      <c r="G316" s="205"/>
    </row>
    <row r="317" spans="1:7" ht="24" x14ac:dyDescent="0.25">
      <c r="A317" s="108" t="s">
        <v>1507</v>
      </c>
      <c r="B317" s="229"/>
      <c r="C317" s="233" t="s">
        <v>460</v>
      </c>
      <c r="D317" s="210" t="s">
        <v>8</v>
      </c>
      <c r="E317" s="186">
        <v>1</v>
      </c>
      <c r="F317" s="234"/>
      <c r="G317" s="255"/>
    </row>
    <row r="318" spans="1:7" ht="11.85" customHeight="1" x14ac:dyDescent="0.25">
      <c r="A318" s="424"/>
      <c r="B318" s="412"/>
      <c r="C318" s="205"/>
      <c r="D318" s="205"/>
      <c r="E318" s="425"/>
      <c r="F318" s="426"/>
      <c r="G318" s="205"/>
    </row>
    <row r="319" spans="1:7" ht="24" x14ac:dyDescent="0.25">
      <c r="A319" s="231" t="s">
        <v>1508</v>
      </c>
      <c r="B319" s="207" t="s">
        <v>430</v>
      </c>
      <c r="C319" s="38" t="s">
        <v>245</v>
      </c>
      <c r="D319" s="229"/>
      <c r="E319" s="186"/>
      <c r="F319" s="234"/>
      <c r="G319" s="232"/>
    </row>
    <row r="320" spans="1:7" ht="11.85" customHeight="1" x14ac:dyDescent="0.25">
      <c r="A320" s="424"/>
      <c r="B320" s="412"/>
      <c r="C320" s="205"/>
      <c r="D320" s="205"/>
      <c r="E320" s="425"/>
      <c r="F320" s="426"/>
      <c r="G320" s="205"/>
    </row>
    <row r="321" spans="1:7" ht="36" x14ac:dyDescent="0.25">
      <c r="A321" s="108" t="s">
        <v>1509</v>
      </c>
      <c r="B321" s="210" t="s">
        <v>12</v>
      </c>
      <c r="C321" s="233" t="s">
        <v>611</v>
      </c>
      <c r="D321" s="210" t="s">
        <v>28</v>
      </c>
      <c r="E321" s="186">
        <v>1</v>
      </c>
      <c r="F321" s="234"/>
      <c r="G321" s="255"/>
    </row>
    <row r="322" spans="1:7" ht="11.85" customHeight="1" x14ac:dyDescent="0.25">
      <c r="A322" s="424"/>
      <c r="B322" s="412"/>
      <c r="C322" s="205"/>
      <c r="D322" s="205"/>
      <c r="E322" s="425"/>
      <c r="F322" s="426"/>
      <c r="G322" s="205"/>
    </row>
    <row r="323" spans="1:7" ht="11.85" customHeight="1" x14ac:dyDescent="0.25">
      <c r="A323" s="108"/>
      <c r="B323" s="229"/>
      <c r="C323" s="247"/>
      <c r="D323" s="229"/>
      <c r="E323" s="186"/>
      <c r="F323" s="234"/>
      <c r="G323" s="232"/>
    </row>
    <row r="324" spans="1:7" ht="11.85" customHeight="1" x14ac:dyDescent="0.25">
      <c r="A324" s="424"/>
      <c r="B324" s="412"/>
      <c r="C324" s="205"/>
      <c r="D324" s="205"/>
      <c r="E324" s="425"/>
      <c r="F324" s="426"/>
      <c r="G324" s="205"/>
    </row>
    <row r="325" spans="1:7" ht="11.85" customHeight="1" x14ac:dyDescent="0.25">
      <c r="A325" s="108"/>
      <c r="B325" s="229"/>
      <c r="C325" s="247"/>
      <c r="D325" s="229"/>
      <c r="E325" s="186"/>
      <c r="F325" s="234"/>
      <c r="G325" s="232"/>
    </row>
    <row r="326" spans="1:7" ht="11.85" customHeight="1" x14ac:dyDescent="0.25">
      <c r="A326" s="424"/>
      <c r="B326" s="412"/>
      <c r="C326" s="205"/>
      <c r="D326" s="205"/>
      <c r="E326" s="425"/>
      <c r="F326" s="426"/>
      <c r="G326" s="205"/>
    </row>
    <row r="327" spans="1:7" ht="11.85" customHeight="1" x14ac:dyDescent="0.25">
      <c r="A327" s="108"/>
      <c r="B327" s="229"/>
      <c r="C327" s="247"/>
      <c r="D327" s="229"/>
      <c r="E327" s="186"/>
      <c r="F327" s="234"/>
      <c r="G327" s="232"/>
    </row>
    <row r="328" spans="1:7" ht="11.85" customHeight="1" x14ac:dyDescent="0.25">
      <c r="A328" s="424"/>
      <c r="B328" s="412"/>
      <c r="C328" s="205"/>
      <c r="D328" s="205"/>
      <c r="E328" s="425"/>
      <c r="F328" s="426"/>
      <c r="G328" s="205"/>
    </row>
    <row r="329" spans="1:7" ht="11.85" customHeight="1" x14ac:dyDescent="0.25">
      <c r="A329" s="108"/>
      <c r="B329" s="229"/>
      <c r="C329" s="247"/>
      <c r="D329" s="229"/>
      <c r="E329" s="186"/>
      <c r="F329" s="234"/>
      <c r="G329" s="232"/>
    </row>
    <row r="330" spans="1:7" ht="11.85" customHeight="1" x14ac:dyDescent="0.25">
      <c r="A330" s="424"/>
      <c r="B330" s="412"/>
      <c r="C330" s="205"/>
      <c r="D330" s="205"/>
      <c r="E330" s="425"/>
      <c r="F330" s="426"/>
      <c r="G330" s="205"/>
    </row>
    <row r="331" spans="1:7" ht="11.85" customHeight="1" x14ac:dyDescent="0.25">
      <c r="A331" s="108"/>
      <c r="B331" s="229"/>
      <c r="C331" s="247"/>
      <c r="D331" s="229"/>
      <c r="E331" s="186"/>
      <c r="F331" s="234"/>
      <c r="G331" s="232"/>
    </row>
    <row r="332" spans="1:7" ht="11.85" customHeight="1" x14ac:dyDescent="0.25">
      <c r="A332" s="424"/>
      <c r="B332" s="412"/>
      <c r="C332" s="205"/>
      <c r="D332" s="205"/>
      <c r="E332" s="425"/>
      <c r="F332" s="426"/>
      <c r="G332" s="205"/>
    </row>
    <row r="333" spans="1:7" ht="11.85" customHeight="1" x14ac:dyDescent="0.25">
      <c r="A333" s="108"/>
      <c r="B333" s="229"/>
      <c r="C333" s="247"/>
      <c r="D333" s="229"/>
      <c r="E333" s="186"/>
      <c r="F333" s="234"/>
      <c r="G333" s="232"/>
    </row>
    <row r="334" spans="1:7" ht="11.85" customHeight="1" x14ac:dyDescent="0.25">
      <c r="A334" s="424"/>
      <c r="B334" s="412"/>
      <c r="C334" s="205"/>
      <c r="D334" s="205"/>
      <c r="E334" s="425"/>
      <c r="F334" s="426"/>
      <c r="G334" s="205"/>
    </row>
    <row r="335" spans="1:7" ht="11.85" customHeight="1" x14ac:dyDescent="0.25">
      <c r="A335" s="108"/>
      <c r="B335" s="229"/>
      <c r="C335" s="247"/>
      <c r="D335" s="229"/>
      <c r="E335" s="186"/>
      <c r="F335" s="234"/>
      <c r="G335" s="232"/>
    </row>
    <row r="336" spans="1:7" ht="11.85" customHeight="1" x14ac:dyDescent="0.25">
      <c r="A336" s="424"/>
      <c r="B336" s="412"/>
      <c r="C336" s="205"/>
      <c r="D336" s="205"/>
      <c r="E336" s="425"/>
      <c r="F336" s="426"/>
      <c r="G336" s="205"/>
    </row>
    <row r="337" spans="1:7" ht="11.85" customHeight="1" x14ac:dyDescent="0.25">
      <c r="A337" s="108"/>
      <c r="B337" s="229"/>
      <c r="C337" s="247"/>
      <c r="D337" s="229"/>
      <c r="E337" s="186"/>
      <c r="F337" s="234"/>
      <c r="G337" s="232"/>
    </row>
    <row r="338" spans="1:7" ht="11.85" customHeight="1" x14ac:dyDescent="0.25">
      <c r="A338" s="424"/>
      <c r="B338" s="412"/>
      <c r="C338" s="205"/>
      <c r="D338" s="205"/>
      <c r="E338" s="425"/>
      <c r="F338" s="426"/>
      <c r="G338" s="205"/>
    </row>
    <row r="339" spans="1:7" ht="11.85" customHeight="1" x14ac:dyDescent="0.25">
      <c r="A339" s="108"/>
      <c r="B339" s="229"/>
      <c r="C339" s="247"/>
      <c r="D339" s="229"/>
      <c r="E339" s="186"/>
      <c r="F339" s="234"/>
      <c r="G339" s="232"/>
    </row>
    <row r="340" spans="1:7" ht="11.85" customHeight="1" x14ac:dyDescent="0.25">
      <c r="A340" s="424"/>
      <c r="B340" s="412"/>
      <c r="C340" s="205"/>
      <c r="D340" s="205"/>
      <c r="E340" s="425"/>
      <c r="F340" s="426"/>
      <c r="G340" s="205"/>
    </row>
    <row r="341" spans="1:7" ht="11.85" customHeight="1" x14ac:dyDescent="0.25">
      <c r="A341" s="108"/>
      <c r="B341" s="229"/>
      <c r="C341" s="247"/>
      <c r="D341" s="229"/>
      <c r="E341" s="186"/>
      <c r="F341" s="234"/>
      <c r="G341" s="232"/>
    </row>
    <row r="342" spans="1:7" ht="11.85" customHeight="1" x14ac:dyDescent="0.25">
      <c r="A342" s="424"/>
      <c r="B342" s="412"/>
      <c r="C342" s="205"/>
      <c r="D342" s="205"/>
      <c r="E342" s="425"/>
      <c r="F342" s="426"/>
      <c r="G342" s="205"/>
    </row>
    <row r="343" spans="1:7" ht="11.85" customHeight="1" x14ac:dyDescent="0.25">
      <c r="A343" s="108"/>
      <c r="B343" s="229"/>
      <c r="C343" s="247"/>
      <c r="D343" s="229"/>
      <c r="E343" s="186"/>
      <c r="F343" s="234"/>
      <c r="G343" s="232"/>
    </row>
    <row r="344" spans="1:7" ht="11.85" customHeight="1" x14ac:dyDescent="0.25">
      <c r="A344" s="424"/>
      <c r="B344" s="412"/>
      <c r="C344" s="205"/>
      <c r="D344" s="205"/>
      <c r="E344" s="425"/>
      <c r="F344" s="426"/>
      <c r="G344" s="205"/>
    </row>
    <row r="345" spans="1:7" ht="11.85" customHeight="1" x14ac:dyDescent="0.25">
      <c r="A345" s="108"/>
      <c r="B345" s="229"/>
      <c r="C345" s="247"/>
      <c r="D345" s="229"/>
      <c r="E345" s="186"/>
      <c r="F345" s="234"/>
      <c r="G345" s="232"/>
    </row>
    <row r="346" spans="1:7" ht="11.85" customHeight="1" x14ac:dyDescent="0.25">
      <c r="A346" s="424"/>
      <c r="B346" s="412"/>
      <c r="C346" s="205"/>
      <c r="D346" s="205"/>
      <c r="E346" s="425"/>
      <c r="F346" s="426"/>
      <c r="G346" s="205"/>
    </row>
    <row r="347" spans="1:7" ht="11.85" customHeight="1" x14ac:dyDescent="0.25">
      <c r="A347" s="108"/>
      <c r="B347" s="229"/>
      <c r="C347" s="247"/>
      <c r="D347" s="229"/>
      <c r="E347" s="186"/>
      <c r="F347" s="234"/>
      <c r="G347" s="232"/>
    </row>
    <row r="348" spans="1:7" ht="11.85" customHeight="1" x14ac:dyDescent="0.25">
      <c r="A348" s="424"/>
      <c r="B348" s="412"/>
      <c r="C348" s="205"/>
      <c r="D348" s="205"/>
      <c r="E348" s="425"/>
      <c r="F348" s="426"/>
      <c r="G348" s="205"/>
    </row>
    <row r="349" spans="1:7" ht="11.85" customHeight="1" x14ac:dyDescent="0.25">
      <c r="A349" s="108"/>
      <c r="B349" s="229"/>
      <c r="C349" s="247"/>
      <c r="D349" s="229"/>
      <c r="E349" s="186"/>
      <c r="F349" s="234"/>
      <c r="G349" s="232"/>
    </row>
    <row r="350" spans="1:7" ht="11.85" customHeight="1" x14ac:dyDescent="0.25">
      <c r="A350" s="424"/>
      <c r="B350" s="412"/>
      <c r="C350" s="205"/>
      <c r="D350" s="205"/>
      <c r="E350" s="425"/>
      <c r="F350" s="426"/>
      <c r="G350" s="205"/>
    </row>
    <row r="351" spans="1:7" ht="11.85" customHeight="1" x14ac:dyDescent="0.25">
      <c r="A351" s="108"/>
      <c r="B351" s="229"/>
      <c r="C351" s="247"/>
      <c r="D351" s="229"/>
      <c r="E351" s="186"/>
      <c r="F351" s="234"/>
      <c r="G351" s="232"/>
    </row>
    <row r="352" spans="1:7" ht="11.85" customHeight="1" x14ac:dyDescent="0.25">
      <c r="A352" s="424"/>
      <c r="B352" s="412"/>
      <c r="C352" s="205"/>
      <c r="D352" s="205"/>
      <c r="E352" s="425"/>
      <c r="F352" s="426"/>
      <c r="G352" s="205"/>
    </row>
    <row r="353" spans="1:7" ht="11.85" customHeight="1" x14ac:dyDescent="0.25">
      <c r="A353" s="108"/>
      <c r="B353" s="229"/>
      <c r="C353" s="247"/>
      <c r="D353" s="229"/>
      <c r="E353" s="186"/>
      <c r="F353" s="234"/>
      <c r="G353" s="232"/>
    </row>
    <row r="354" spans="1:7" ht="11.85" customHeight="1" x14ac:dyDescent="0.25">
      <c r="A354" s="424"/>
      <c r="B354" s="412"/>
      <c r="C354" s="205"/>
      <c r="D354" s="205"/>
      <c r="E354" s="425"/>
      <c r="F354" s="426"/>
      <c r="G354" s="205"/>
    </row>
    <row r="355" spans="1:7" ht="11.85" customHeight="1" x14ac:dyDescent="0.25">
      <c r="A355" s="108"/>
      <c r="B355" s="229"/>
      <c r="C355" s="247"/>
      <c r="D355" s="229"/>
      <c r="E355" s="186"/>
      <c r="F355" s="234"/>
      <c r="G355" s="232"/>
    </row>
    <row r="356" spans="1:7" ht="11.85" customHeight="1" x14ac:dyDescent="0.25">
      <c r="A356" s="424"/>
      <c r="B356" s="412"/>
      <c r="C356" s="205"/>
      <c r="D356" s="205"/>
      <c r="E356" s="425"/>
      <c r="F356" s="426"/>
      <c r="G356" s="205"/>
    </row>
    <row r="357" spans="1:7" ht="11.85" customHeight="1" x14ac:dyDescent="0.25">
      <c r="A357" s="108"/>
      <c r="B357" s="229"/>
      <c r="C357" s="247"/>
      <c r="D357" s="229"/>
      <c r="E357" s="186"/>
      <c r="F357" s="234"/>
      <c r="G357" s="232"/>
    </row>
    <row r="358" spans="1:7" ht="11.85" customHeight="1" x14ac:dyDescent="0.25">
      <c r="A358" s="424"/>
      <c r="B358" s="412"/>
      <c r="C358" s="205"/>
      <c r="D358" s="205"/>
      <c r="E358" s="425"/>
      <c r="F358" s="426"/>
      <c r="G358" s="205"/>
    </row>
    <row r="359" spans="1:7" ht="11.85" customHeight="1" x14ac:dyDescent="0.25">
      <c r="A359" s="108"/>
      <c r="B359" s="229"/>
      <c r="C359" s="247"/>
      <c r="D359" s="229"/>
      <c r="E359" s="186"/>
      <c r="F359" s="234"/>
      <c r="G359" s="232"/>
    </row>
    <row r="360" spans="1:7" ht="11.85" customHeight="1" x14ac:dyDescent="0.25">
      <c r="A360" s="424"/>
      <c r="B360" s="412"/>
      <c r="C360" s="205"/>
      <c r="D360" s="205"/>
      <c r="E360" s="425"/>
      <c r="F360" s="426"/>
      <c r="G360" s="205"/>
    </row>
    <row r="361" spans="1:7" ht="11.85" customHeight="1" x14ac:dyDescent="0.25">
      <c r="A361" s="108"/>
      <c r="B361" s="229"/>
      <c r="C361" s="247"/>
      <c r="D361" s="229"/>
      <c r="E361" s="186"/>
      <c r="F361" s="234"/>
      <c r="G361" s="232"/>
    </row>
    <row r="362" spans="1:7" ht="11.85" customHeight="1" x14ac:dyDescent="0.25">
      <c r="A362" s="424"/>
      <c r="B362" s="412"/>
      <c r="C362" s="205"/>
      <c r="D362" s="205"/>
      <c r="E362" s="425"/>
      <c r="F362" s="426"/>
      <c r="G362" s="205"/>
    </row>
    <row r="363" spans="1:7" ht="11.85" customHeight="1" x14ac:dyDescent="0.25">
      <c r="A363" s="227"/>
      <c r="B363" s="293"/>
      <c r="C363" s="207"/>
      <c r="D363" s="207"/>
      <c r="E363" s="208"/>
      <c r="F363" s="294"/>
      <c r="G363" s="207"/>
    </row>
    <row r="364" spans="1:7" ht="11.85" customHeight="1" x14ac:dyDescent="0.25">
      <c r="A364" s="424"/>
      <c r="B364" s="412"/>
      <c r="C364" s="205"/>
      <c r="D364" s="205"/>
      <c r="E364" s="425"/>
      <c r="F364" s="426"/>
      <c r="G364" s="205"/>
    </row>
    <row r="365" spans="1:7" ht="11.85" customHeight="1" x14ac:dyDescent="0.25">
      <c r="A365" s="227"/>
      <c r="B365" s="293"/>
      <c r="C365" s="207"/>
      <c r="D365" s="207"/>
      <c r="E365" s="208"/>
      <c r="F365" s="294"/>
      <c r="G365" s="207"/>
    </row>
    <row r="366" spans="1:7" ht="28.5" customHeight="1" x14ac:dyDescent="0.25">
      <c r="A366" s="539" t="s">
        <v>1560</v>
      </c>
      <c r="B366" s="528"/>
      <c r="C366" s="528"/>
      <c r="D366" s="528"/>
      <c r="E366" s="528"/>
      <c r="F366" s="529"/>
      <c r="G366" s="331"/>
    </row>
    <row r="367" spans="1:7" x14ac:dyDescent="0.25">
      <c r="A367" s="424"/>
      <c r="B367" s="412"/>
      <c r="C367" s="205"/>
      <c r="D367" s="205"/>
      <c r="E367" s="425"/>
      <c r="F367" s="426"/>
      <c r="G367" s="205"/>
    </row>
    <row r="368" spans="1:7" ht="29.25" customHeight="1" x14ac:dyDescent="0.25">
      <c r="A368" s="312" t="s">
        <v>1411</v>
      </c>
      <c r="B368" s="329"/>
      <c r="C368" s="272" t="s">
        <v>970</v>
      </c>
      <c r="D368" s="246"/>
      <c r="E368" s="335"/>
      <c r="F368" s="334"/>
      <c r="G368" s="256"/>
    </row>
    <row r="369" spans="1:7" x14ac:dyDescent="0.25">
      <c r="A369" s="424"/>
      <c r="B369" s="412"/>
      <c r="C369" s="205"/>
      <c r="D369" s="205"/>
      <c r="E369" s="425"/>
      <c r="F369" s="426"/>
      <c r="G369" s="205"/>
    </row>
    <row r="370" spans="1:7" ht="24" x14ac:dyDescent="0.25">
      <c r="A370" s="293" t="s">
        <v>1510</v>
      </c>
      <c r="B370" s="227" t="s">
        <v>14</v>
      </c>
      <c r="C370" s="218" t="s">
        <v>241</v>
      </c>
      <c r="D370" s="246"/>
      <c r="E370" s="335"/>
      <c r="F370" s="334"/>
      <c r="G370" s="256"/>
    </row>
    <row r="371" spans="1:7" x14ac:dyDescent="0.25">
      <c r="A371" s="424"/>
      <c r="B371" s="412"/>
      <c r="C371" s="205"/>
      <c r="D371" s="205"/>
      <c r="E371" s="425"/>
      <c r="F371" s="426"/>
      <c r="G371" s="205"/>
    </row>
    <row r="372" spans="1:7" ht="24" x14ac:dyDescent="0.25">
      <c r="A372" s="249" t="s">
        <v>1511</v>
      </c>
      <c r="B372" s="214" t="s">
        <v>5</v>
      </c>
      <c r="C372" s="233" t="s">
        <v>495</v>
      </c>
      <c r="D372" s="142" t="s">
        <v>87</v>
      </c>
      <c r="E372" s="211">
        <f>ROUND(3.55*2+(0.5*0.5),1)</f>
        <v>7.4</v>
      </c>
      <c r="F372" s="334"/>
      <c r="G372" s="232"/>
    </row>
    <row r="373" spans="1:7" x14ac:dyDescent="0.25">
      <c r="A373" s="424"/>
      <c r="B373" s="412"/>
      <c r="C373" s="205"/>
      <c r="D373" s="205"/>
      <c r="E373" s="425"/>
      <c r="F373" s="426"/>
      <c r="G373" s="205"/>
    </row>
    <row r="374" spans="1:7" ht="24" customHeight="1" x14ac:dyDescent="0.25">
      <c r="A374" s="249" t="s">
        <v>1512</v>
      </c>
      <c r="B374" s="214" t="s">
        <v>2189</v>
      </c>
      <c r="C374" s="233" t="s">
        <v>496</v>
      </c>
      <c r="D374" s="142" t="s">
        <v>87</v>
      </c>
      <c r="E374" s="335">
        <f>E372</f>
        <v>7.4</v>
      </c>
      <c r="F374" s="334"/>
      <c r="G374" s="232"/>
    </row>
    <row r="375" spans="1:7" x14ac:dyDescent="0.25">
      <c r="A375" s="424"/>
      <c r="B375" s="412"/>
      <c r="C375" s="205"/>
      <c r="D375" s="205"/>
      <c r="E375" s="425"/>
      <c r="F375" s="426"/>
      <c r="G375" s="205"/>
    </row>
    <row r="376" spans="1:7" ht="36" x14ac:dyDescent="0.25">
      <c r="A376" s="249" t="s">
        <v>1513</v>
      </c>
      <c r="B376" s="210" t="s">
        <v>2188</v>
      </c>
      <c r="C376" s="233" t="s">
        <v>494</v>
      </c>
      <c r="D376" s="214" t="s">
        <v>8</v>
      </c>
      <c r="E376" s="335">
        <v>1</v>
      </c>
      <c r="F376" s="334"/>
      <c r="G376" s="232"/>
    </row>
    <row r="377" spans="1:7" x14ac:dyDescent="0.25">
      <c r="A377" s="424"/>
      <c r="B377" s="412"/>
      <c r="C377" s="205"/>
      <c r="D377" s="205"/>
      <c r="E377" s="425"/>
      <c r="F377" s="426"/>
      <c r="G377" s="205"/>
    </row>
    <row r="378" spans="1:7" ht="24" x14ac:dyDescent="0.25">
      <c r="A378" s="293" t="s">
        <v>1514</v>
      </c>
      <c r="B378" s="227" t="s">
        <v>244</v>
      </c>
      <c r="C378" s="218" t="s">
        <v>9</v>
      </c>
      <c r="D378" s="246"/>
      <c r="E378" s="335"/>
      <c r="F378" s="334"/>
      <c r="G378" s="256"/>
    </row>
    <row r="379" spans="1:7" x14ac:dyDescent="0.25">
      <c r="A379" s="424"/>
      <c r="B379" s="412"/>
      <c r="C379" s="205"/>
      <c r="D379" s="205"/>
      <c r="E379" s="425"/>
      <c r="F379" s="426"/>
      <c r="G379" s="205"/>
    </row>
    <row r="380" spans="1:7" ht="46.9" customHeight="1" x14ac:dyDescent="0.25">
      <c r="A380" s="249" t="s">
        <v>1515</v>
      </c>
      <c r="B380" s="210" t="s">
        <v>18</v>
      </c>
      <c r="C380" s="233" t="s">
        <v>497</v>
      </c>
      <c r="D380" s="142" t="s">
        <v>88</v>
      </c>
      <c r="E380" s="211">
        <f>ROUND(3.55*2*3,1)</f>
        <v>21.3</v>
      </c>
      <c r="F380" s="274"/>
      <c r="G380" s="255"/>
    </row>
    <row r="381" spans="1:7" x14ac:dyDescent="0.25">
      <c r="A381" s="424"/>
      <c r="B381" s="412"/>
      <c r="C381" s="205"/>
      <c r="D381" s="205"/>
      <c r="E381" s="425"/>
      <c r="F381" s="426"/>
      <c r="G381" s="205"/>
    </row>
    <row r="382" spans="1:7" x14ac:dyDescent="0.25">
      <c r="A382" s="249" t="s">
        <v>1516</v>
      </c>
      <c r="B382" s="210"/>
      <c r="C382" s="465" t="s">
        <v>2190</v>
      </c>
      <c r="D382" s="142"/>
      <c r="E382" s="211"/>
      <c r="F382" s="270"/>
      <c r="G382" s="207"/>
    </row>
    <row r="383" spans="1:7" x14ac:dyDescent="0.25">
      <c r="A383" s="424"/>
      <c r="B383" s="412"/>
      <c r="C383" s="205"/>
      <c r="D383" s="205"/>
      <c r="E383" s="425"/>
      <c r="F383" s="426"/>
      <c r="G383" s="205"/>
    </row>
    <row r="384" spans="1:7" ht="13.5" x14ac:dyDescent="0.25">
      <c r="A384" s="249" t="s">
        <v>1517</v>
      </c>
      <c r="B384" s="210"/>
      <c r="C384" s="235" t="s">
        <v>304</v>
      </c>
      <c r="D384" s="142" t="s">
        <v>88</v>
      </c>
      <c r="E384" s="211">
        <v>5</v>
      </c>
      <c r="F384" s="274"/>
      <c r="G384" s="255"/>
    </row>
    <row r="385" spans="1:7" x14ac:dyDescent="0.25">
      <c r="A385" s="424"/>
      <c r="B385" s="412"/>
      <c r="C385" s="205"/>
      <c r="D385" s="205"/>
      <c r="E385" s="425"/>
      <c r="F385" s="426"/>
      <c r="G385" s="205"/>
    </row>
    <row r="386" spans="1:7" ht="13.5" x14ac:dyDescent="0.25">
      <c r="A386" s="249" t="s">
        <v>1518</v>
      </c>
      <c r="B386" s="210"/>
      <c r="C386" s="235" t="s">
        <v>396</v>
      </c>
      <c r="D386" s="142" t="s">
        <v>88</v>
      </c>
      <c r="E386" s="211">
        <v>2</v>
      </c>
      <c r="F386" s="274"/>
      <c r="G386" s="255"/>
    </row>
    <row r="387" spans="1:7" x14ac:dyDescent="0.25">
      <c r="A387" s="424"/>
      <c r="B387" s="412"/>
      <c r="C387" s="205"/>
      <c r="D387" s="205"/>
      <c r="E387" s="425"/>
      <c r="F387" s="426"/>
      <c r="G387" s="205"/>
    </row>
    <row r="388" spans="1:7" ht="36" x14ac:dyDescent="0.25">
      <c r="A388" s="249" t="s">
        <v>1519</v>
      </c>
      <c r="B388" s="210" t="s">
        <v>398</v>
      </c>
      <c r="C388" s="233" t="s">
        <v>857</v>
      </c>
      <c r="D388" s="142" t="s">
        <v>28</v>
      </c>
      <c r="E388" s="211">
        <v>1</v>
      </c>
      <c r="F388" s="274"/>
      <c r="G388" s="255"/>
    </row>
    <row r="389" spans="1:7" x14ac:dyDescent="0.25">
      <c r="A389" s="424"/>
      <c r="B389" s="412"/>
      <c r="C389" s="205"/>
      <c r="D389" s="205"/>
      <c r="E389" s="425"/>
      <c r="F389" s="426"/>
      <c r="G389" s="205"/>
    </row>
    <row r="390" spans="1:7" ht="36" x14ac:dyDescent="0.25">
      <c r="A390" s="249" t="s">
        <v>1520</v>
      </c>
      <c r="B390" s="210" t="s">
        <v>563</v>
      </c>
      <c r="C390" s="119" t="s">
        <v>790</v>
      </c>
      <c r="D390" s="210" t="s">
        <v>88</v>
      </c>
      <c r="E390" s="211">
        <f>ROUND(3.55*2*0.15,1)</f>
        <v>1.1000000000000001</v>
      </c>
      <c r="F390" s="274"/>
      <c r="G390" s="255"/>
    </row>
    <row r="391" spans="1:7" ht="11.85" customHeight="1" x14ac:dyDescent="0.25">
      <c r="A391" s="424"/>
      <c r="B391" s="412"/>
      <c r="C391" s="205"/>
      <c r="D391" s="205"/>
      <c r="E391" s="425"/>
      <c r="F391" s="426"/>
      <c r="G391" s="205"/>
    </row>
    <row r="392" spans="1:7" ht="24" x14ac:dyDescent="0.25">
      <c r="A392" s="293" t="s">
        <v>1521</v>
      </c>
      <c r="B392" s="207" t="s">
        <v>148</v>
      </c>
      <c r="C392" s="38" t="s">
        <v>422</v>
      </c>
      <c r="D392" s="215"/>
      <c r="E392" s="216"/>
      <c r="F392" s="215"/>
      <c r="G392" s="217"/>
    </row>
    <row r="393" spans="1:7" ht="11.85" customHeight="1" x14ac:dyDescent="0.25">
      <c r="A393" s="424"/>
      <c r="B393" s="412"/>
      <c r="C393" s="205"/>
      <c r="D393" s="205"/>
      <c r="E393" s="425"/>
      <c r="F393" s="426"/>
      <c r="G393" s="205"/>
    </row>
    <row r="394" spans="1:7" ht="11.85" customHeight="1" x14ac:dyDescent="0.25">
      <c r="A394" s="256"/>
      <c r="B394" s="206">
        <v>8.1999999999999993</v>
      </c>
      <c r="C394" s="218" t="s">
        <v>149</v>
      </c>
      <c r="D394" s="142"/>
      <c r="E394" s="295"/>
      <c r="F394" s="229"/>
      <c r="G394" s="232"/>
    </row>
    <row r="395" spans="1:7" ht="11.85" customHeight="1" x14ac:dyDescent="0.25">
      <c r="A395" s="424"/>
      <c r="B395" s="412"/>
      <c r="C395" s="205"/>
      <c r="D395" s="205"/>
      <c r="E395" s="425"/>
      <c r="F395" s="426"/>
      <c r="G395" s="205"/>
    </row>
    <row r="396" spans="1:7" ht="11.85" customHeight="1" x14ac:dyDescent="0.25">
      <c r="A396" s="256"/>
      <c r="B396" s="206"/>
      <c r="C396" s="154" t="s">
        <v>172</v>
      </c>
      <c r="D396" s="142"/>
      <c r="E396" s="211"/>
      <c r="F396" s="234"/>
      <c r="G396" s="232"/>
    </row>
    <row r="397" spans="1:7" ht="11.85" customHeight="1" x14ac:dyDescent="0.25">
      <c r="A397" s="424"/>
      <c r="B397" s="412"/>
      <c r="C397" s="205"/>
      <c r="D397" s="205"/>
      <c r="E397" s="425"/>
      <c r="F397" s="426"/>
      <c r="G397" s="205"/>
    </row>
    <row r="398" spans="1:7" ht="24" x14ac:dyDescent="0.25">
      <c r="A398" s="249" t="s">
        <v>1522</v>
      </c>
      <c r="B398" s="142" t="s">
        <v>5</v>
      </c>
      <c r="C398" s="233" t="s">
        <v>936</v>
      </c>
      <c r="D398" s="142" t="s">
        <v>87</v>
      </c>
      <c r="E398" s="187">
        <f>+ROUND((2*0.3*4)+(1.55*0.3*2)+(2*0.3)+(0.4*0.2*4),1)</f>
        <v>4.3</v>
      </c>
      <c r="F398" s="274"/>
      <c r="G398" s="255"/>
    </row>
    <row r="399" spans="1:7" ht="11.85" customHeight="1" x14ac:dyDescent="0.25">
      <c r="A399" s="424"/>
      <c r="B399" s="412"/>
      <c r="C399" s="205"/>
      <c r="D399" s="205"/>
      <c r="E399" s="425"/>
      <c r="F399" s="426"/>
      <c r="G399" s="205"/>
    </row>
    <row r="400" spans="1:7" ht="11.85" customHeight="1" x14ac:dyDescent="0.25">
      <c r="A400" s="256"/>
      <c r="B400" s="273"/>
      <c r="C400" s="257"/>
      <c r="D400" s="290"/>
      <c r="E400" s="241"/>
      <c r="F400" s="234"/>
      <c r="G400" s="232"/>
    </row>
    <row r="401" spans="1:7" ht="11.85" customHeight="1" x14ac:dyDescent="0.25">
      <c r="A401" s="424"/>
      <c r="B401" s="412"/>
      <c r="C401" s="205"/>
      <c r="D401" s="205"/>
      <c r="E401" s="425"/>
      <c r="F401" s="426"/>
      <c r="G401" s="205"/>
    </row>
    <row r="402" spans="1:7" ht="11.85" customHeight="1" x14ac:dyDescent="0.25">
      <c r="A402" s="256"/>
      <c r="B402" s="221"/>
      <c r="C402" s="275"/>
      <c r="D402" s="290"/>
      <c r="E402" s="211"/>
      <c r="F402" s="234"/>
      <c r="G402" s="232"/>
    </row>
    <row r="403" spans="1:7" ht="11.85" customHeight="1" x14ac:dyDescent="0.25">
      <c r="A403" s="424"/>
      <c r="B403" s="412"/>
      <c r="C403" s="205"/>
      <c r="D403" s="205"/>
      <c r="E403" s="425"/>
      <c r="F403" s="426"/>
      <c r="G403" s="205"/>
    </row>
    <row r="404" spans="1:7" ht="11.85" customHeight="1" x14ac:dyDescent="0.25">
      <c r="A404" s="249"/>
      <c r="B404" s="221"/>
      <c r="C404" s="233"/>
      <c r="D404" s="142"/>
      <c r="E404" s="187"/>
      <c r="F404" s="234"/>
      <c r="G404" s="232"/>
    </row>
    <row r="405" spans="1:7" ht="28.5" customHeight="1" x14ac:dyDescent="0.25">
      <c r="A405" s="526" t="s">
        <v>609</v>
      </c>
      <c r="B405" s="526"/>
      <c r="C405" s="526"/>
      <c r="D405" s="526"/>
      <c r="E405" s="526"/>
      <c r="F405" s="526"/>
      <c r="G405" s="158"/>
    </row>
    <row r="406" spans="1:7" ht="28.5" customHeight="1" x14ac:dyDescent="0.25">
      <c r="A406" s="526" t="s">
        <v>610</v>
      </c>
      <c r="B406" s="526"/>
      <c r="C406" s="526"/>
      <c r="D406" s="526"/>
      <c r="E406" s="526"/>
      <c r="F406" s="526"/>
      <c r="G406" s="158"/>
    </row>
    <row r="407" spans="1:7" ht="11.85" customHeight="1" x14ac:dyDescent="0.25">
      <c r="A407" s="424"/>
      <c r="B407" s="412"/>
      <c r="C407" s="205"/>
      <c r="D407" s="205"/>
      <c r="E407" s="425"/>
      <c r="F407" s="426"/>
      <c r="G407" s="205"/>
    </row>
    <row r="408" spans="1:7" ht="11.85" customHeight="1" x14ac:dyDescent="0.25">
      <c r="A408" s="256"/>
      <c r="B408" s="273" t="s">
        <v>7</v>
      </c>
      <c r="C408" s="257" t="s">
        <v>150</v>
      </c>
      <c r="D408" s="290"/>
      <c r="E408" s="241"/>
      <c r="F408" s="234"/>
      <c r="G408" s="232"/>
    </row>
    <row r="409" spans="1:7" ht="11.85" customHeight="1" x14ac:dyDescent="0.25">
      <c r="A409" s="424"/>
      <c r="B409" s="412"/>
      <c r="C409" s="205"/>
      <c r="D409" s="205"/>
      <c r="E409" s="425"/>
      <c r="F409" s="426"/>
      <c r="G409" s="205"/>
    </row>
    <row r="410" spans="1:7" ht="11.85" customHeight="1" x14ac:dyDescent="0.25">
      <c r="A410" s="256"/>
      <c r="B410" s="221"/>
      <c r="C410" s="275" t="s">
        <v>175</v>
      </c>
      <c r="D410" s="290"/>
      <c r="E410" s="211"/>
      <c r="F410" s="234"/>
      <c r="G410" s="232"/>
    </row>
    <row r="411" spans="1:7" ht="11.85" customHeight="1" x14ac:dyDescent="0.25">
      <c r="A411" s="424"/>
      <c r="B411" s="412"/>
      <c r="C411" s="205"/>
      <c r="D411" s="205"/>
      <c r="E411" s="425"/>
      <c r="F411" s="426"/>
      <c r="G411" s="205"/>
    </row>
    <row r="412" spans="1:7" ht="11.85" customHeight="1" x14ac:dyDescent="0.25">
      <c r="A412" s="249" t="s">
        <v>1523</v>
      </c>
      <c r="B412" s="221"/>
      <c r="C412" s="233" t="s">
        <v>473</v>
      </c>
      <c r="D412" s="142" t="s">
        <v>87</v>
      </c>
      <c r="E412" s="187">
        <f>+ROUND((1.5*2.8*4)+(1.5*1*2)+(1.3*1*2)+(2*2.8*4)+(1*2)+(1.55*1*2),1)</f>
        <v>49.9</v>
      </c>
      <c r="F412" s="234"/>
      <c r="G412" s="232"/>
    </row>
    <row r="413" spans="1:7" ht="11.85" customHeight="1" x14ac:dyDescent="0.25">
      <c r="A413" s="424"/>
      <c r="B413" s="204"/>
      <c r="C413" s="205"/>
      <c r="D413" s="205"/>
      <c r="E413" s="425"/>
      <c r="F413" s="426"/>
      <c r="G413" s="205"/>
    </row>
    <row r="414" spans="1:7" ht="11.85" customHeight="1" x14ac:dyDescent="0.25">
      <c r="A414" s="249" t="s">
        <v>1524</v>
      </c>
      <c r="B414" s="221"/>
      <c r="C414" s="233" t="s">
        <v>937</v>
      </c>
      <c r="D414" s="142" t="s">
        <v>87</v>
      </c>
      <c r="E414" s="187">
        <f>+ROUND((3.55*0.2*2)+(2*0.2*2),1)</f>
        <v>2.2000000000000002</v>
      </c>
      <c r="F414" s="234"/>
      <c r="G414" s="232"/>
    </row>
    <row r="415" spans="1:7" ht="11.85" customHeight="1" x14ac:dyDescent="0.25">
      <c r="A415" s="424"/>
      <c r="B415" s="412"/>
      <c r="C415" s="205"/>
      <c r="D415" s="205"/>
      <c r="E415" s="425"/>
      <c r="F415" s="426"/>
      <c r="G415" s="205"/>
    </row>
    <row r="416" spans="1:7" ht="11.85" customHeight="1" x14ac:dyDescent="0.25">
      <c r="A416" s="256"/>
      <c r="B416" s="229"/>
      <c r="C416" s="258" t="s">
        <v>176</v>
      </c>
      <c r="D416" s="290"/>
      <c r="E416" s="241"/>
      <c r="F416" s="234"/>
      <c r="G416" s="232"/>
    </row>
    <row r="417" spans="1:7" ht="11.85" customHeight="1" x14ac:dyDescent="0.25">
      <c r="A417" s="424"/>
      <c r="B417" s="412"/>
      <c r="C417" s="205"/>
      <c r="D417" s="205"/>
      <c r="E417" s="425"/>
      <c r="F417" s="426"/>
      <c r="G417" s="205"/>
    </row>
    <row r="418" spans="1:7" ht="11.85" customHeight="1" x14ac:dyDescent="0.25">
      <c r="A418" s="249" t="s">
        <v>1525</v>
      </c>
      <c r="B418" s="229"/>
      <c r="C418" s="220" t="s">
        <v>474</v>
      </c>
      <c r="D418" s="142" t="s">
        <v>87</v>
      </c>
      <c r="E418" s="187">
        <f>+ROUND(3.55*2,1)</f>
        <v>7.1</v>
      </c>
      <c r="F418" s="274"/>
      <c r="G418" s="255"/>
    </row>
    <row r="419" spans="1:7" ht="11.85" customHeight="1" x14ac:dyDescent="0.25">
      <c r="A419" s="424"/>
      <c r="B419" s="412"/>
      <c r="C419" s="205"/>
      <c r="D419" s="205"/>
      <c r="E419" s="425"/>
      <c r="F419" s="426"/>
      <c r="G419" s="205"/>
    </row>
    <row r="420" spans="1:7" ht="11.85" customHeight="1" x14ac:dyDescent="0.25">
      <c r="A420" s="256"/>
      <c r="B420" s="273" t="s">
        <v>476</v>
      </c>
      <c r="C420" s="279" t="s">
        <v>403</v>
      </c>
      <c r="D420" s="290"/>
      <c r="E420" s="241"/>
      <c r="F420" s="234"/>
      <c r="G420" s="232"/>
    </row>
    <row r="421" spans="1:7" ht="11.85" customHeight="1" x14ac:dyDescent="0.25">
      <c r="A421" s="424"/>
      <c r="B421" s="412"/>
      <c r="C421" s="205"/>
      <c r="D421" s="205"/>
      <c r="E421" s="425"/>
      <c r="F421" s="426"/>
      <c r="G421" s="205"/>
    </row>
    <row r="422" spans="1:7" ht="36" x14ac:dyDescent="0.25">
      <c r="A422" s="256"/>
      <c r="B422" s="229"/>
      <c r="C422" s="258" t="s">
        <v>443</v>
      </c>
      <c r="D422" s="142"/>
      <c r="E422" s="241"/>
      <c r="F422" s="234"/>
      <c r="G422" s="232"/>
    </row>
    <row r="423" spans="1:7" ht="11.85" customHeight="1" x14ac:dyDescent="0.25">
      <c r="A423" s="424"/>
      <c r="B423" s="412"/>
      <c r="C423" s="205"/>
      <c r="D423" s="205"/>
      <c r="E423" s="425"/>
      <c r="F423" s="426"/>
      <c r="G423" s="205"/>
    </row>
    <row r="424" spans="1:7" ht="24" x14ac:dyDescent="0.25">
      <c r="A424" s="249" t="s">
        <v>1526</v>
      </c>
      <c r="B424" s="215"/>
      <c r="C424" s="119" t="s">
        <v>938</v>
      </c>
      <c r="D424" s="142" t="s">
        <v>8</v>
      </c>
      <c r="E424" s="241">
        <v>2</v>
      </c>
      <c r="F424" s="234"/>
      <c r="G424" s="232"/>
    </row>
    <row r="425" spans="1:7" x14ac:dyDescent="0.25">
      <c r="A425" s="424"/>
      <c r="B425" s="412"/>
      <c r="C425" s="205"/>
      <c r="D425" s="205"/>
      <c r="E425" s="425"/>
      <c r="F425" s="426"/>
      <c r="G425" s="205"/>
    </row>
    <row r="426" spans="1:7" ht="24" x14ac:dyDescent="0.25">
      <c r="A426" s="249" t="s">
        <v>1527</v>
      </c>
      <c r="B426" s="215"/>
      <c r="C426" s="119" t="s">
        <v>939</v>
      </c>
      <c r="D426" s="142" t="s">
        <v>8</v>
      </c>
      <c r="E426" s="241">
        <v>1</v>
      </c>
      <c r="F426" s="234"/>
      <c r="G426" s="232"/>
    </row>
    <row r="427" spans="1:7" ht="11.85" customHeight="1" x14ac:dyDescent="0.25">
      <c r="A427" s="424"/>
      <c r="B427" s="412"/>
      <c r="C427" s="205"/>
      <c r="D427" s="205"/>
      <c r="E427" s="425"/>
      <c r="F427" s="426"/>
      <c r="G427" s="205"/>
    </row>
    <row r="428" spans="1:7" ht="25.5" x14ac:dyDescent="0.25">
      <c r="A428" s="256"/>
      <c r="B428" s="215"/>
      <c r="C428" s="258" t="s">
        <v>475</v>
      </c>
      <c r="D428" s="142"/>
      <c r="E428" s="241"/>
      <c r="F428" s="234"/>
      <c r="G428" s="232"/>
    </row>
    <row r="429" spans="1:7" x14ac:dyDescent="0.25">
      <c r="A429" s="424"/>
      <c r="B429" s="412"/>
      <c r="C429" s="205"/>
      <c r="D429" s="205"/>
      <c r="E429" s="425"/>
      <c r="F429" s="426"/>
      <c r="G429" s="205"/>
    </row>
    <row r="430" spans="1:7" ht="24" x14ac:dyDescent="0.25">
      <c r="A430" s="249" t="s">
        <v>1528</v>
      </c>
      <c r="B430" s="215"/>
      <c r="C430" s="119" t="s">
        <v>864</v>
      </c>
      <c r="D430" s="142" t="s">
        <v>8</v>
      </c>
      <c r="E430" s="241">
        <v>1</v>
      </c>
      <c r="F430" s="234"/>
      <c r="G430" s="232"/>
    </row>
    <row r="431" spans="1:7" x14ac:dyDescent="0.25">
      <c r="A431" s="424"/>
      <c r="B431" s="412"/>
      <c r="C431" s="205"/>
      <c r="D431" s="205"/>
      <c r="E431" s="425"/>
      <c r="F431" s="426"/>
      <c r="G431" s="205"/>
    </row>
    <row r="432" spans="1:7" ht="24" x14ac:dyDescent="0.25">
      <c r="A432" s="249" t="s">
        <v>1529</v>
      </c>
      <c r="B432" s="215"/>
      <c r="C432" s="119" t="s">
        <v>865</v>
      </c>
      <c r="D432" s="142" t="s">
        <v>8</v>
      </c>
      <c r="E432" s="241">
        <v>1</v>
      </c>
      <c r="F432" s="234"/>
      <c r="G432" s="232"/>
    </row>
    <row r="433" spans="1:7" x14ac:dyDescent="0.25">
      <c r="A433" s="424"/>
      <c r="B433" s="412"/>
      <c r="C433" s="205"/>
      <c r="D433" s="205"/>
      <c r="E433" s="425"/>
      <c r="F433" s="426"/>
      <c r="G433" s="205"/>
    </row>
    <row r="434" spans="1:7" ht="24" x14ac:dyDescent="0.25">
      <c r="A434" s="249" t="s">
        <v>1530</v>
      </c>
      <c r="B434" s="332" t="s">
        <v>235</v>
      </c>
      <c r="C434" s="119" t="s">
        <v>940</v>
      </c>
      <c r="D434" s="142" t="s">
        <v>8</v>
      </c>
      <c r="E434" s="241">
        <v>1</v>
      </c>
      <c r="F434" s="234"/>
      <c r="G434" s="232"/>
    </row>
    <row r="435" spans="1:7" ht="11.85" customHeight="1" x14ac:dyDescent="0.25">
      <c r="A435" s="424"/>
      <c r="B435" s="412"/>
      <c r="C435" s="205"/>
      <c r="D435" s="205"/>
      <c r="E435" s="425"/>
      <c r="F435" s="426"/>
      <c r="G435" s="205"/>
    </row>
    <row r="436" spans="1:7" ht="11.85" customHeight="1" x14ac:dyDescent="0.25">
      <c r="A436" s="256"/>
      <c r="B436" s="207">
        <v>8.3000000000000007</v>
      </c>
      <c r="C436" s="38" t="s">
        <v>151</v>
      </c>
      <c r="D436" s="210"/>
      <c r="E436" s="219"/>
      <c r="F436" s="274"/>
      <c r="G436" s="233"/>
    </row>
    <row r="437" spans="1:7" ht="11.85" customHeight="1" x14ac:dyDescent="0.25">
      <c r="A437" s="424"/>
      <c r="B437" s="412"/>
      <c r="C437" s="205"/>
      <c r="D437" s="205"/>
      <c r="E437" s="425"/>
      <c r="F437" s="426"/>
      <c r="G437" s="205"/>
    </row>
    <row r="438" spans="1:7" ht="11.85" customHeight="1" x14ac:dyDescent="0.25">
      <c r="A438" s="256"/>
      <c r="B438" s="210"/>
      <c r="C438" s="258" t="s">
        <v>406</v>
      </c>
      <c r="D438" s="210"/>
      <c r="E438" s="219"/>
      <c r="F438" s="274"/>
      <c r="G438" s="233"/>
    </row>
    <row r="439" spans="1:7" ht="11.85" customHeight="1" x14ac:dyDescent="0.25">
      <c r="A439" s="424"/>
      <c r="B439" s="412"/>
      <c r="C439" s="205"/>
      <c r="D439" s="205"/>
      <c r="E439" s="425"/>
      <c r="F439" s="426"/>
      <c r="G439" s="205"/>
    </row>
    <row r="440" spans="1:7" ht="11.85" customHeight="1" x14ac:dyDescent="0.25">
      <c r="A440" s="249" t="s">
        <v>1531</v>
      </c>
      <c r="B440" s="210" t="s">
        <v>26</v>
      </c>
      <c r="C440" s="119" t="s">
        <v>177</v>
      </c>
      <c r="D440" s="210" t="s">
        <v>92</v>
      </c>
      <c r="E440" s="241">
        <f>+ROUND(((3.55*2*0.25)*0.135)+(((1.75*2.8)+(1.15*1))*0.15),1)</f>
        <v>1.1000000000000001</v>
      </c>
      <c r="F440" s="274"/>
      <c r="G440" s="255"/>
    </row>
    <row r="441" spans="1:7" ht="11.85" customHeight="1" x14ac:dyDescent="0.25">
      <c r="A441" s="424"/>
      <c r="B441" s="412"/>
      <c r="C441" s="205"/>
      <c r="D441" s="205"/>
      <c r="E441" s="425"/>
      <c r="F441" s="426"/>
      <c r="G441" s="205"/>
    </row>
    <row r="442" spans="1:7" ht="24" x14ac:dyDescent="0.25">
      <c r="A442" s="249" t="s">
        <v>1532</v>
      </c>
      <c r="B442" s="142" t="s">
        <v>477</v>
      </c>
      <c r="C442" s="119" t="s">
        <v>444</v>
      </c>
      <c r="D442" s="229" t="s">
        <v>87</v>
      </c>
      <c r="E442" s="241">
        <f>+ROUND(3.55*2*2,1)</f>
        <v>14.2</v>
      </c>
      <c r="F442" s="274"/>
      <c r="G442" s="255"/>
    </row>
    <row r="443" spans="1:7" ht="11.85" customHeight="1" x14ac:dyDescent="0.25">
      <c r="A443" s="424"/>
      <c r="B443" s="412"/>
      <c r="C443" s="205"/>
      <c r="D443" s="205"/>
      <c r="E443" s="425"/>
      <c r="F443" s="426"/>
      <c r="G443" s="205"/>
    </row>
    <row r="444" spans="1:7" ht="11.85" customHeight="1" x14ac:dyDescent="0.25">
      <c r="A444" s="256"/>
      <c r="B444" s="207">
        <v>8.4</v>
      </c>
      <c r="C444" s="38" t="s">
        <v>152</v>
      </c>
      <c r="D444" s="210"/>
      <c r="E444" s="219"/>
      <c r="F444" s="274"/>
      <c r="G444" s="233"/>
    </row>
    <row r="445" spans="1:7" ht="11.85" customHeight="1" x14ac:dyDescent="0.25">
      <c r="A445" s="424"/>
      <c r="B445" s="412"/>
      <c r="C445" s="205"/>
      <c r="D445" s="205"/>
      <c r="E445" s="425"/>
      <c r="F445" s="426"/>
      <c r="G445" s="205"/>
    </row>
    <row r="446" spans="1:7" ht="11.85" customHeight="1" x14ac:dyDescent="0.25">
      <c r="A446" s="227"/>
      <c r="B446" s="210"/>
      <c r="C446" s="258" t="s">
        <v>407</v>
      </c>
      <c r="D446" s="210"/>
      <c r="E446" s="219"/>
      <c r="F446" s="274"/>
      <c r="G446" s="281"/>
    </row>
    <row r="447" spans="1:7" ht="11.85" customHeight="1" x14ac:dyDescent="0.25">
      <c r="A447" s="424"/>
      <c r="B447" s="412"/>
      <c r="C447" s="205"/>
      <c r="D447" s="205"/>
      <c r="E447" s="425"/>
      <c r="F447" s="426"/>
      <c r="G447" s="205"/>
    </row>
    <row r="448" spans="1:7" ht="24" x14ac:dyDescent="0.25">
      <c r="A448" s="214" t="s">
        <v>1533</v>
      </c>
      <c r="B448" s="210"/>
      <c r="C448" s="119" t="s">
        <v>941</v>
      </c>
      <c r="D448" s="142" t="s">
        <v>88</v>
      </c>
      <c r="E448" s="241">
        <f>+ROUND((3.55*2*0.05)+(0.4*0.4*0.2)+(0.05*1*0.5),1)</f>
        <v>0.4</v>
      </c>
      <c r="F448" s="274"/>
      <c r="G448" s="255"/>
    </row>
    <row r="449" spans="1:7" x14ac:dyDescent="0.25">
      <c r="A449" s="467"/>
      <c r="B449" s="251"/>
      <c r="C449" s="254"/>
      <c r="D449" s="240"/>
      <c r="E449" s="427"/>
      <c r="F449" s="288"/>
      <c r="G449" s="252"/>
    </row>
    <row r="450" spans="1:7" ht="28.5" customHeight="1" x14ac:dyDescent="0.25">
      <c r="A450" s="526" t="s">
        <v>609</v>
      </c>
      <c r="B450" s="526"/>
      <c r="C450" s="526"/>
      <c r="D450" s="526"/>
      <c r="E450" s="526"/>
      <c r="F450" s="526"/>
      <c r="G450" s="158"/>
    </row>
    <row r="451" spans="1:7" ht="28.5" customHeight="1" x14ac:dyDescent="0.25">
      <c r="A451" s="526" t="s">
        <v>610</v>
      </c>
      <c r="B451" s="526"/>
      <c r="C451" s="526"/>
      <c r="D451" s="526"/>
      <c r="E451" s="526"/>
      <c r="F451" s="526"/>
      <c r="G451" s="158"/>
    </row>
    <row r="452" spans="1:7" ht="11.85" customHeight="1" x14ac:dyDescent="0.25">
      <c r="A452" s="424"/>
      <c r="B452" s="412"/>
      <c r="C452" s="205"/>
      <c r="D452" s="205"/>
      <c r="E452" s="425"/>
      <c r="F452" s="426"/>
      <c r="G452" s="205"/>
    </row>
    <row r="453" spans="1:7" ht="24" x14ac:dyDescent="0.25">
      <c r="A453" s="214" t="s">
        <v>1534</v>
      </c>
      <c r="B453" s="210" t="s">
        <v>94</v>
      </c>
      <c r="C453" s="119" t="s">
        <v>446</v>
      </c>
      <c r="D453" s="142" t="s">
        <v>88</v>
      </c>
      <c r="E453" s="241">
        <f>+ROUND((3.55*2*0.25)+(1.75*2.8)+(1.15*1)+(5.74*0.2),1)</f>
        <v>9</v>
      </c>
      <c r="F453" s="234"/>
      <c r="G453" s="255"/>
    </row>
    <row r="454" spans="1:7" ht="11.85" customHeight="1" x14ac:dyDescent="0.25">
      <c r="A454" s="424"/>
      <c r="B454" s="412"/>
      <c r="C454" s="205"/>
      <c r="D454" s="205"/>
      <c r="E454" s="425"/>
      <c r="F454" s="426"/>
      <c r="G454" s="205"/>
    </row>
    <row r="455" spans="1:7" ht="11.85" customHeight="1" x14ac:dyDescent="0.25">
      <c r="A455" s="214" t="s">
        <v>1535</v>
      </c>
      <c r="B455" s="210" t="s">
        <v>58</v>
      </c>
      <c r="C455" s="119" t="s">
        <v>447</v>
      </c>
      <c r="D455" s="229" t="s">
        <v>87</v>
      </c>
      <c r="E455" s="187">
        <f>+ROUND(1.75+1.15+5.74,1)</f>
        <v>8.6</v>
      </c>
      <c r="F455" s="234"/>
      <c r="G455" s="255"/>
    </row>
    <row r="456" spans="1:7" ht="11.85" customHeight="1" x14ac:dyDescent="0.25">
      <c r="A456" s="424"/>
      <c r="B456" s="412"/>
      <c r="C456" s="205"/>
      <c r="D456" s="205"/>
      <c r="E456" s="425"/>
      <c r="F456" s="426"/>
      <c r="G456" s="205"/>
    </row>
    <row r="457" spans="1:7" ht="11.85" customHeight="1" x14ac:dyDescent="0.25">
      <c r="A457" s="256"/>
      <c r="B457" s="207">
        <v>8.5</v>
      </c>
      <c r="C457" s="218" t="s">
        <v>448</v>
      </c>
      <c r="D457" s="229"/>
      <c r="E457" s="186"/>
      <c r="F457" s="234"/>
      <c r="G457" s="232"/>
    </row>
    <row r="458" spans="1:7" ht="11.85" customHeight="1" x14ac:dyDescent="0.25">
      <c r="A458" s="424"/>
      <c r="B458" s="412"/>
      <c r="C458" s="205"/>
      <c r="D458" s="205"/>
      <c r="E458" s="425"/>
      <c r="F458" s="426"/>
      <c r="G458" s="205"/>
    </row>
    <row r="459" spans="1:7" ht="24" x14ac:dyDescent="0.25">
      <c r="A459" s="249" t="s">
        <v>1536</v>
      </c>
      <c r="B459" s="229"/>
      <c r="C459" s="119" t="s">
        <v>449</v>
      </c>
      <c r="D459" s="210" t="s">
        <v>6</v>
      </c>
      <c r="E459" s="186">
        <f>ROUND((1.75*4)+(1.55*4),1)</f>
        <v>13.2</v>
      </c>
      <c r="F459" s="234"/>
      <c r="G459" s="255"/>
    </row>
    <row r="460" spans="1:7" x14ac:dyDescent="0.25">
      <c r="A460" s="424"/>
      <c r="B460" s="412"/>
      <c r="C460" s="205"/>
      <c r="D460" s="205"/>
      <c r="E460" s="425"/>
      <c r="F460" s="426"/>
      <c r="G460" s="205"/>
    </row>
    <row r="461" spans="1:7" ht="36" x14ac:dyDescent="0.25">
      <c r="A461" s="249" t="s">
        <v>1537</v>
      </c>
      <c r="B461" s="229"/>
      <c r="C461" s="119" t="s">
        <v>479</v>
      </c>
      <c r="D461" s="210" t="s">
        <v>6</v>
      </c>
      <c r="E461" s="186">
        <f>ROUND(1.75*4,1)</f>
        <v>7</v>
      </c>
      <c r="F461" s="234"/>
      <c r="G461" s="255"/>
    </row>
    <row r="462" spans="1:7" x14ac:dyDescent="0.25">
      <c r="A462" s="424"/>
      <c r="B462" s="412"/>
      <c r="C462" s="205"/>
      <c r="D462" s="205"/>
      <c r="E462" s="425"/>
      <c r="F462" s="426"/>
      <c r="G462" s="205"/>
    </row>
    <row r="463" spans="1:7" ht="24" x14ac:dyDescent="0.25">
      <c r="A463" s="249" t="s">
        <v>1538</v>
      </c>
      <c r="B463" s="229">
        <v>8.6999999999999993</v>
      </c>
      <c r="C463" s="119" t="s">
        <v>480</v>
      </c>
      <c r="D463" s="210" t="s">
        <v>28</v>
      </c>
      <c r="E463" s="186">
        <v>1</v>
      </c>
      <c r="F463" s="234"/>
      <c r="G463" s="255"/>
    </row>
    <row r="464" spans="1:7" ht="11.85" customHeight="1" x14ac:dyDescent="0.25">
      <c r="A464" s="424"/>
      <c r="B464" s="412"/>
      <c r="C464" s="205"/>
      <c r="D464" s="205"/>
      <c r="E464" s="425"/>
      <c r="F464" s="426"/>
      <c r="G464" s="205"/>
    </row>
    <row r="465" spans="1:7" ht="24" x14ac:dyDescent="0.25">
      <c r="A465" s="293" t="s">
        <v>1539</v>
      </c>
      <c r="B465" s="207" t="s">
        <v>3</v>
      </c>
      <c r="C465" s="38" t="s">
        <v>4</v>
      </c>
      <c r="D465" s="210"/>
      <c r="E465" s="186"/>
      <c r="F465" s="234"/>
      <c r="G465" s="255"/>
    </row>
    <row r="466" spans="1:7" ht="11.85" customHeight="1" x14ac:dyDescent="0.25">
      <c r="A466" s="424"/>
      <c r="B466" s="412"/>
      <c r="C466" s="205"/>
      <c r="D466" s="205"/>
      <c r="E466" s="425"/>
      <c r="F466" s="426"/>
      <c r="G466" s="205"/>
    </row>
    <row r="467" spans="1:7" ht="24" x14ac:dyDescent="0.25">
      <c r="A467" s="256"/>
      <c r="B467" s="207" t="s">
        <v>13</v>
      </c>
      <c r="C467" s="38" t="s">
        <v>412</v>
      </c>
      <c r="D467" s="210"/>
      <c r="E467" s="186"/>
      <c r="F467" s="234"/>
      <c r="G467" s="255"/>
    </row>
    <row r="468" spans="1:7" ht="11.85" customHeight="1" x14ac:dyDescent="0.25">
      <c r="A468" s="424"/>
      <c r="B468" s="412"/>
      <c r="C468" s="205"/>
      <c r="D468" s="205"/>
      <c r="E468" s="425"/>
      <c r="F468" s="426"/>
      <c r="G468" s="205"/>
    </row>
    <row r="469" spans="1:7" ht="11.85" customHeight="1" x14ac:dyDescent="0.25">
      <c r="A469" s="256"/>
      <c r="B469" s="210"/>
      <c r="C469" s="220" t="s">
        <v>413</v>
      </c>
      <c r="D469" s="210"/>
      <c r="E469" s="186"/>
      <c r="F469" s="234"/>
      <c r="G469" s="255"/>
    </row>
    <row r="470" spans="1:7" ht="11.85" customHeight="1" x14ac:dyDescent="0.25">
      <c r="A470" s="424"/>
      <c r="B470" s="412"/>
      <c r="C470" s="205"/>
      <c r="D470" s="205"/>
      <c r="E470" s="425"/>
      <c r="F470" s="426"/>
      <c r="G470" s="205"/>
    </row>
    <row r="471" spans="1:7" ht="23.25" customHeight="1" x14ac:dyDescent="0.25">
      <c r="A471" s="256"/>
      <c r="B471" s="210"/>
      <c r="C471" s="119" t="s">
        <v>454</v>
      </c>
      <c r="D471" s="210"/>
      <c r="E471" s="186"/>
      <c r="F471" s="234"/>
      <c r="G471" s="255"/>
    </row>
    <row r="472" spans="1:7" ht="11.85" customHeight="1" x14ac:dyDescent="0.25">
      <c r="A472" s="424"/>
      <c r="B472" s="412"/>
      <c r="C472" s="205"/>
      <c r="D472" s="205"/>
      <c r="E472" s="425"/>
      <c r="F472" s="426"/>
      <c r="G472" s="205"/>
    </row>
    <row r="473" spans="1:7" ht="24" x14ac:dyDescent="0.25">
      <c r="A473" s="256"/>
      <c r="B473" s="210"/>
      <c r="C473" s="119" t="s">
        <v>823</v>
      </c>
      <c r="D473" s="210"/>
      <c r="E473" s="186"/>
      <c r="F473" s="234"/>
      <c r="G473" s="255"/>
    </row>
    <row r="474" spans="1:7" ht="11.85" customHeight="1" x14ac:dyDescent="0.25">
      <c r="A474" s="424"/>
      <c r="B474" s="412"/>
      <c r="C474" s="205"/>
      <c r="D474" s="205"/>
      <c r="E474" s="425"/>
      <c r="F474" s="426"/>
      <c r="G474" s="205"/>
    </row>
    <row r="475" spans="1:7" ht="11.85" customHeight="1" x14ac:dyDescent="0.25">
      <c r="A475" s="256"/>
      <c r="B475" s="210"/>
      <c r="C475" s="220" t="s">
        <v>414</v>
      </c>
      <c r="D475" s="210"/>
      <c r="E475" s="186"/>
      <c r="F475" s="234"/>
      <c r="G475" s="255"/>
    </row>
    <row r="476" spans="1:7" ht="11.85" customHeight="1" x14ac:dyDescent="0.25">
      <c r="A476" s="424"/>
      <c r="B476" s="412"/>
      <c r="C476" s="205"/>
      <c r="D476" s="205"/>
      <c r="E476" s="425"/>
      <c r="F476" s="426"/>
      <c r="G476" s="205"/>
    </row>
    <row r="477" spans="1:7" ht="36.75" customHeight="1" x14ac:dyDescent="0.25">
      <c r="A477" s="256"/>
      <c r="B477" s="210"/>
      <c r="C477" s="119" t="s">
        <v>895</v>
      </c>
      <c r="D477" s="210"/>
      <c r="E477" s="186"/>
      <c r="F477" s="234"/>
      <c r="G477" s="255"/>
    </row>
    <row r="478" spans="1:7" ht="11.85" customHeight="1" x14ac:dyDescent="0.25">
      <c r="A478" s="424"/>
      <c r="B478" s="412"/>
      <c r="C478" s="205"/>
      <c r="D478" s="205"/>
      <c r="E478" s="425"/>
      <c r="F478" s="426"/>
      <c r="G478" s="205"/>
    </row>
    <row r="479" spans="1:7" ht="36" customHeight="1" x14ac:dyDescent="0.25">
      <c r="A479" s="249" t="s">
        <v>1540</v>
      </c>
      <c r="B479" s="229"/>
      <c r="C479" s="119" t="s">
        <v>481</v>
      </c>
      <c r="D479" s="210" t="s">
        <v>8</v>
      </c>
      <c r="E479" s="186">
        <v>1</v>
      </c>
      <c r="F479" s="234"/>
      <c r="G479" s="255"/>
    </row>
    <row r="480" spans="1:7" ht="11.85" customHeight="1" x14ac:dyDescent="0.25">
      <c r="A480" s="424"/>
      <c r="B480" s="412"/>
      <c r="C480" s="205"/>
      <c r="D480" s="205"/>
      <c r="E480" s="425"/>
      <c r="F480" s="426"/>
      <c r="G480" s="205"/>
    </row>
    <row r="481" spans="1:7" ht="24" x14ac:dyDescent="0.25">
      <c r="A481" s="249" t="s">
        <v>1541</v>
      </c>
      <c r="B481" s="229"/>
      <c r="C481" s="119" t="s">
        <v>482</v>
      </c>
      <c r="D481" s="210" t="s">
        <v>8</v>
      </c>
      <c r="E481" s="186">
        <v>1</v>
      </c>
      <c r="F481" s="234"/>
      <c r="G481" s="255"/>
    </row>
    <row r="482" spans="1:7" ht="11.85" customHeight="1" x14ac:dyDescent="0.25">
      <c r="A482" s="424"/>
      <c r="B482" s="412"/>
      <c r="C482" s="205"/>
      <c r="D482" s="205"/>
      <c r="E482" s="425"/>
      <c r="F482" s="426"/>
      <c r="G482" s="205"/>
    </row>
    <row r="483" spans="1:7" ht="11.85" customHeight="1" x14ac:dyDescent="0.25">
      <c r="A483" s="249" t="s">
        <v>1542</v>
      </c>
      <c r="B483" s="229"/>
      <c r="C483" s="119" t="s">
        <v>483</v>
      </c>
      <c r="D483" s="210" t="s">
        <v>8</v>
      </c>
      <c r="E483" s="186">
        <v>1</v>
      </c>
      <c r="F483" s="234"/>
      <c r="G483" s="255"/>
    </row>
    <row r="484" spans="1:7" ht="11.85" customHeight="1" x14ac:dyDescent="0.25">
      <c r="A484" s="424"/>
      <c r="B484" s="412"/>
      <c r="C484" s="205"/>
      <c r="D484" s="205"/>
      <c r="E484" s="425"/>
      <c r="F484" s="426"/>
      <c r="G484" s="205"/>
    </row>
    <row r="485" spans="1:7" ht="26.25" customHeight="1" x14ac:dyDescent="0.25">
      <c r="A485" s="249" t="s">
        <v>1543</v>
      </c>
      <c r="B485" s="229"/>
      <c r="C485" s="119" t="s">
        <v>484</v>
      </c>
      <c r="D485" s="210" t="s">
        <v>8</v>
      </c>
      <c r="E485" s="186">
        <v>1</v>
      </c>
      <c r="F485" s="234"/>
      <c r="G485" s="255"/>
    </row>
    <row r="486" spans="1:7" x14ac:dyDescent="0.25">
      <c r="A486" s="454"/>
      <c r="B486" s="414"/>
      <c r="C486" s="254"/>
      <c r="D486" s="251"/>
      <c r="E486" s="466"/>
      <c r="F486" s="237"/>
      <c r="G486" s="252"/>
    </row>
    <row r="487" spans="1:7" ht="24" x14ac:dyDescent="0.25">
      <c r="A487" s="249" t="s">
        <v>1544</v>
      </c>
      <c r="B487" s="229"/>
      <c r="C487" s="119" t="s">
        <v>485</v>
      </c>
      <c r="D487" s="210" t="s">
        <v>8</v>
      </c>
      <c r="E487" s="186">
        <v>1</v>
      </c>
      <c r="F487" s="234"/>
      <c r="G487" s="255"/>
    </row>
    <row r="488" spans="1:7" x14ac:dyDescent="0.25">
      <c r="A488" s="454"/>
      <c r="B488" s="414"/>
      <c r="C488" s="254"/>
      <c r="D488" s="251"/>
      <c r="E488" s="466"/>
      <c r="F488" s="237"/>
      <c r="G488" s="252"/>
    </row>
    <row r="489" spans="1:7" ht="28.5" customHeight="1" x14ac:dyDescent="0.25">
      <c r="A489" s="526" t="s">
        <v>609</v>
      </c>
      <c r="B489" s="526"/>
      <c r="C489" s="526"/>
      <c r="D489" s="526"/>
      <c r="E489" s="526"/>
      <c r="F489" s="526"/>
      <c r="G489" s="158"/>
    </row>
    <row r="490" spans="1:7" ht="28.5" customHeight="1" x14ac:dyDescent="0.25">
      <c r="A490" s="526" t="s">
        <v>610</v>
      </c>
      <c r="B490" s="526"/>
      <c r="C490" s="526"/>
      <c r="D490" s="526"/>
      <c r="E490" s="526"/>
      <c r="F490" s="526"/>
      <c r="G490" s="158"/>
    </row>
    <row r="491" spans="1:7" ht="9.9499999999999993" customHeight="1" x14ac:dyDescent="0.25">
      <c r="A491" s="424"/>
      <c r="B491" s="412"/>
      <c r="C491" s="205"/>
      <c r="D491" s="205"/>
      <c r="E491" s="425"/>
      <c r="F491" s="426"/>
      <c r="G491" s="205"/>
    </row>
    <row r="492" spans="1:7" ht="36" x14ac:dyDescent="0.25">
      <c r="A492" s="249" t="s">
        <v>1545</v>
      </c>
      <c r="B492" s="229"/>
      <c r="C492" s="119" t="s">
        <v>486</v>
      </c>
      <c r="D492" s="210" t="s">
        <v>8</v>
      </c>
      <c r="E492" s="186">
        <v>2</v>
      </c>
      <c r="F492" s="234"/>
      <c r="G492" s="255"/>
    </row>
    <row r="493" spans="1:7" ht="9.9499999999999993" customHeight="1" x14ac:dyDescent="0.25">
      <c r="A493" s="424"/>
      <c r="B493" s="412"/>
      <c r="C493" s="205"/>
      <c r="D493" s="205"/>
      <c r="E493" s="425"/>
      <c r="F493" s="426"/>
      <c r="G493" s="205"/>
    </row>
    <row r="494" spans="1:7" ht="25.5" customHeight="1" x14ac:dyDescent="0.25">
      <c r="A494" s="249" t="s">
        <v>1546</v>
      </c>
      <c r="B494" s="229"/>
      <c r="C494" s="119" t="s">
        <v>487</v>
      </c>
      <c r="D494" s="210" t="s">
        <v>8</v>
      </c>
      <c r="E494" s="186">
        <v>1</v>
      </c>
      <c r="F494" s="234"/>
      <c r="G494" s="255"/>
    </row>
    <row r="495" spans="1:7" ht="9.9499999999999993" customHeight="1" x14ac:dyDescent="0.25">
      <c r="A495" s="424"/>
      <c r="B495" s="412"/>
      <c r="C495" s="205"/>
      <c r="D495" s="205"/>
      <c r="E495" s="425"/>
      <c r="F495" s="426"/>
      <c r="G495" s="205"/>
    </row>
    <row r="496" spans="1:7" x14ac:dyDescent="0.25">
      <c r="A496" s="249" t="s">
        <v>1547</v>
      </c>
      <c r="B496" s="229"/>
      <c r="C496" s="119" t="s">
        <v>488</v>
      </c>
      <c r="D496" s="210" t="s">
        <v>8</v>
      </c>
      <c r="E496" s="186">
        <v>1</v>
      </c>
      <c r="F496" s="234"/>
      <c r="G496" s="255"/>
    </row>
    <row r="497" spans="1:7" ht="9.9499999999999993" customHeight="1" x14ac:dyDescent="0.25">
      <c r="A497" s="424"/>
      <c r="B497" s="412"/>
      <c r="C497" s="205"/>
      <c r="D497" s="205"/>
      <c r="E497" s="425"/>
      <c r="F497" s="426"/>
      <c r="G497" s="205"/>
    </row>
    <row r="498" spans="1:7" ht="36" x14ac:dyDescent="0.25">
      <c r="A498" s="249" t="s">
        <v>1548</v>
      </c>
      <c r="B498" s="229"/>
      <c r="C498" s="119" t="s">
        <v>489</v>
      </c>
      <c r="D498" s="210" t="s">
        <v>8</v>
      </c>
      <c r="E498" s="186">
        <v>1</v>
      </c>
      <c r="F498" s="234"/>
      <c r="G498" s="255"/>
    </row>
    <row r="499" spans="1:7" ht="9.9499999999999993" customHeight="1" x14ac:dyDescent="0.25">
      <c r="A499" s="424"/>
      <c r="B499" s="412"/>
      <c r="C499" s="205"/>
      <c r="D499" s="205"/>
      <c r="E499" s="425"/>
      <c r="F499" s="426"/>
      <c r="G499" s="205"/>
    </row>
    <row r="500" spans="1:7" ht="24" x14ac:dyDescent="0.25">
      <c r="A500" s="249" t="s">
        <v>1549</v>
      </c>
      <c r="B500" s="229"/>
      <c r="C500" s="119" t="s">
        <v>490</v>
      </c>
      <c r="D500" s="210" t="s">
        <v>8</v>
      </c>
      <c r="E500" s="186">
        <v>1</v>
      </c>
      <c r="F500" s="234"/>
      <c r="G500" s="255"/>
    </row>
    <row r="501" spans="1:7" ht="9.9499999999999993" customHeight="1" x14ac:dyDescent="0.25">
      <c r="A501" s="424"/>
      <c r="B501" s="412"/>
      <c r="C501" s="205"/>
      <c r="D501" s="205"/>
      <c r="E501" s="425"/>
      <c r="F501" s="426"/>
      <c r="G501" s="205"/>
    </row>
    <row r="502" spans="1:7" ht="36" x14ac:dyDescent="0.25">
      <c r="A502" s="249" t="s">
        <v>1550</v>
      </c>
      <c r="B502" s="229"/>
      <c r="C502" s="119" t="s">
        <v>491</v>
      </c>
      <c r="D502" s="210" t="s">
        <v>8</v>
      </c>
      <c r="E502" s="186">
        <v>1</v>
      </c>
      <c r="F502" s="234"/>
      <c r="G502" s="255"/>
    </row>
    <row r="503" spans="1:7" ht="9.9499999999999993" customHeight="1" x14ac:dyDescent="0.25">
      <c r="A503" s="424"/>
      <c r="B503" s="412"/>
      <c r="C503" s="205"/>
      <c r="D503" s="205"/>
      <c r="E503" s="425"/>
      <c r="F503" s="426"/>
      <c r="G503" s="205"/>
    </row>
    <row r="504" spans="1:7" ht="24" x14ac:dyDescent="0.25">
      <c r="A504" s="249" t="s">
        <v>1551</v>
      </c>
      <c r="B504" s="229"/>
      <c r="C504" s="119" t="s">
        <v>492</v>
      </c>
      <c r="D504" s="210" t="s">
        <v>8</v>
      </c>
      <c r="E504" s="186">
        <v>1</v>
      </c>
      <c r="F504" s="234"/>
      <c r="G504" s="255"/>
    </row>
    <row r="505" spans="1:7" ht="9.9499999999999993" customHeight="1" x14ac:dyDescent="0.25">
      <c r="A505" s="424"/>
      <c r="B505" s="412"/>
      <c r="C505" s="205"/>
      <c r="D505" s="205"/>
      <c r="E505" s="425"/>
      <c r="F505" s="426"/>
      <c r="G505" s="205"/>
    </row>
    <row r="506" spans="1:7" ht="84" x14ac:dyDescent="0.25">
      <c r="A506" s="249" t="s">
        <v>1552</v>
      </c>
      <c r="B506" s="210" t="s">
        <v>493</v>
      </c>
      <c r="C506" s="119" t="s">
        <v>2374</v>
      </c>
      <c r="D506" s="210" t="s">
        <v>8</v>
      </c>
      <c r="E506" s="186">
        <v>1</v>
      </c>
      <c r="F506" s="234"/>
      <c r="G506" s="255"/>
    </row>
    <row r="507" spans="1:7" ht="9.9499999999999993" customHeight="1" x14ac:dyDescent="0.25">
      <c r="A507" s="424"/>
      <c r="B507" s="412"/>
      <c r="C507" s="205"/>
      <c r="D507" s="205"/>
      <c r="E507" s="425"/>
      <c r="F507" s="426"/>
      <c r="G507" s="205"/>
    </row>
    <row r="508" spans="1:7" ht="11.85" customHeight="1" x14ac:dyDescent="0.25">
      <c r="A508" s="293" t="s">
        <v>1553</v>
      </c>
      <c r="B508" s="229"/>
      <c r="C508" s="38" t="s">
        <v>805</v>
      </c>
      <c r="D508" s="210"/>
      <c r="E508" s="186"/>
      <c r="F508" s="242"/>
      <c r="G508" s="290"/>
    </row>
    <row r="509" spans="1:7" ht="9.9499999999999993" customHeight="1" x14ac:dyDescent="0.25">
      <c r="A509" s="424"/>
      <c r="B509" s="412"/>
      <c r="C509" s="205"/>
      <c r="D509" s="205"/>
      <c r="E509" s="425"/>
      <c r="F509" s="426"/>
      <c r="G509" s="205"/>
    </row>
    <row r="510" spans="1:7" ht="47.25" customHeight="1" x14ac:dyDescent="0.25">
      <c r="A510" s="249" t="s">
        <v>1554</v>
      </c>
      <c r="B510" s="229"/>
      <c r="C510" s="233" t="s">
        <v>2127</v>
      </c>
      <c r="D510" s="210" t="s">
        <v>28</v>
      </c>
      <c r="E510" s="186">
        <v>1</v>
      </c>
      <c r="F510" s="242"/>
      <c r="G510" s="255"/>
    </row>
    <row r="511" spans="1:7" ht="9.9499999999999993" customHeight="1" x14ac:dyDescent="0.25">
      <c r="A511" s="424"/>
      <c r="B511" s="412"/>
      <c r="C511" s="205"/>
      <c r="D511" s="205"/>
      <c r="E511" s="425"/>
      <c r="F511" s="426"/>
      <c r="G511" s="205"/>
    </row>
    <row r="512" spans="1:7" ht="60" x14ac:dyDescent="0.25">
      <c r="A512" s="249" t="s">
        <v>1555</v>
      </c>
      <c r="B512" s="229"/>
      <c r="C512" s="233" t="s">
        <v>878</v>
      </c>
      <c r="D512" s="210" t="s">
        <v>8</v>
      </c>
      <c r="E512" s="186">
        <v>1</v>
      </c>
      <c r="F512" s="242"/>
      <c r="G512" s="255"/>
    </row>
    <row r="513" spans="1:7" ht="9.9499999999999993" customHeight="1" x14ac:dyDescent="0.25">
      <c r="A513" s="424"/>
      <c r="B513" s="412"/>
      <c r="C513" s="205"/>
      <c r="D513" s="205"/>
      <c r="E513" s="425"/>
      <c r="F513" s="426"/>
      <c r="G513" s="205"/>
    </row>
    <row r="514" spans="1:7" ht="36" x14ac:dyDescent="0.25">
      <c r="A514" s="249" t="s">
        <v>1556</v>
      </c>
      <c r="B514" s="229"/>
      <c r="C514" s="233" t="s">
        <v>451</v>
      </c>
      <c r="D514" s="210" t="s">
        <v>8</v>
      </c>
      <c r="E514" s="186">
        <v>1</v>
      </c>
      <c r="F514" s="242"/>
      <c r="G514" s="255"/>
    </row>
    <row r="515" spans="1:7" ht="9.9499999999999993" customHeight="1" x14ac:dyDescent="0.25">
      <c r="A515" s="424"/>
      <c r="B515" s="412"/>
      <c r="C515" s="205"/>
      <c r="D515" s="205"/>
      <c r="E515" s="425"/>
      <c r="F515" s="426"/>
      <c r="G515" s="205"/>
    </row>
    <row r="516" spans="1:7" ht="25.15" customHeight="1" x14ac:dyDescent="0.25">
      <c r="A516" s="249" t="s">
        <v>1557</v>
      </c>
      <c r="B516" s="229"/>
      <c r="C516" s="119" t="s">
        <v>942</v>
      </c>
      <c r="D516" s="210" t="s">
        <v>28</v>
      </c>
      <c r="E516" s="186">
        <v>1</v>
      </c>
      <c r="F516" s="242"/>
      <c r="G516" s="255"/>
    </row>
    <row r="517" spans="1:7" ht="9.9499999999999993" customHeight="1" x14ac:dyDescent="0.25">
      <c r="A517" s="424"/>
      <c r="B517" s="412"/>
      <c r="C517" s="205"/>
      <c r="D517" s="205"/>
      <c r="E517" s="425"/>
      <c r="F517" s="426"/>
      <c r="G517" s="205"/>
    </row>
    <row r="518" spans="1:7" ht="36" x14ac:dyDescent="0.25">
      <c r="A518" s="249" t="s">
        <v>1558</v>
      </c>
      <c r="B518" s="229"/>
      <c r="C518" s="119" t="s">
        <v>2128</v>
      </c>
      <c r="D518" s="210" t="s">
        <v>8</v>
      </c>
      <c r="E518" s="186">
        <v>2</v>
      </c>
      <c r="F518" s="242"/>
      <c r="G518" s="255"/>
    </row>
    <row r="519" spans="1:7" ht="9.9499999999999993" customHeight="1" x14ac:dyDescent="0.25">
      <c r="A519" s="424"/>
      <c r="B519" s="412"/>
      <c r="C519" s="205"/>
      <c r="D519" s="205"/>
      <c r="E519" s="425"/>
      <c r="F519" s="426"/>
      <c r="G519" s="205"/>
    </row>
    <row r="520" spans="1:7" ht="28.5" customHeight="1" x14ac:dyDescent="0.25">
      <c r="A520" s="539" t="s">
        <v>1559</v>
      </c>
      <c r="B520" s="528"/>
      <c r="C520" s="528"/>
      <c r="D520" s="528"/>
      <c r="E520" s="528"/>
      <c r="F520" s="529"/>
      <c r="G520" s="331"/>
    </row>
    <row r="521" spans="1:7" x14ac:dyDescent="0.25">
      <c r="B521" s="327"/>
    </row>
    <row r="522" spans="1:7" x14ac:dyDescent="0.25">
      <c r="C522" s="326"/>
    </row>
    <row r="523" spans="1:7" x14ac:dyDescent="0.25">
      <c r="C523" s="326"/>
    </row>
    <row r="524" spans="1:7" x14ac:dyDescent="0.25">
      <c r="C524" s="326"/>
    </row>
    <row r="525" spans="1:7" x14ac:dyDescent="0.25">
      <c r="C525" s="326"/>
    </row>
    <row r="526" spans="1:7" x14ac:dyDescent="0.25">
      <c r="C526" s="326"/>
    </row>
    <row r="527" spans="1:7" x14ac:dyDescent="0.25">
      <c r="C527" s="326"/>
    </row>
    <row r="528" spans="1:7" x14ac:dyDescent="0.25">
      <c r="C528" s="326"/>
    </row>
    <row r="529" spans="3:3" x14ac:dyDescent="0.25">
      <c r="C529" s="326"/>
    </row>
    <row r="530" spans="3:3" x14ac:dyDescent="0.25">
      <c r="C530" s="326"/>
    </row>
    <row r="531" spans="3:3" x14ac:dyDescent="0.25">
      <c r="C531" s="326"/>
    </row>
    <row r="532" spans="3:3" x14ac:dyDescent="0.25">
      <c r="C532" s="326"/>
    </row>
    <row r="533" spans="3:3" x14ac:dyDescent="0.25">
      <c r="C533" s="326"/>
    </row>
    <row r="534" spans="3:3" x14ac:dyDescent="0.25">
      <c r="C534" s="326"/>
    </row>
    <row r="535" spans="3:3" x14ac:dyDescent="0.25">
      <c r="C535" s="326"/>
    </row>
    <row r="536" spans="3:3" x14ac:dyDescent="0.25">
      <c r="C536" s="326"/>
    </row>
    <row r="537" spans="3:3" x14ac:dyDescent="0.25">
      <c r="C537" s="326"/>
    </row>
    <row r="538" spans="3:3" x14ac:dyDescent="0.25">
      <c r="C538" s="326"/>
    </row>
    <row r="539" spans="3:3" x14ac:dyDescent="0.25">
      <c r="C539" s="326"/>
    </row>
    <row r="540" spans="3:3" x14ac:dyDescent="0.25">
      <c r="C540" s="326"/>
    </row>
    <row r="541" spans="3:3" x14ac:dyDescent="0.25">
      <c r="C541" s="326"/>
    </row>
    <row r="542" spans="3:3" x14ac:dyDescent="0.25">
      <c r="C542" s="326"/>
    </row>
    <row r="543" spans="3:3" x14ac:dyDescent="0.25">
      <c r="C543" s="326"/>
    </row>
    <row r="544" spans="3:3" x14ac:dyDescent="0.25">
      <c r="C544" s="326"/>
    </row>
    <row r="545" spans="3:3" x14ac:dyDescent="0.25">
      <c r="C545" s="326"/>
    </row>
    <row r="546" spans="3:3" x14ac:dyDescent="0.25">
      <c r="C546" s="326"/>
    </row>
    <row r="547" spans="3:3" x14ac:dyDescent="0.25">
      <c r="C547" s="326"/>
    </row>
    <row r="548" spans="3:3" x14ac:dyDescent="0.25">
      <c r="C548" s="326"/>
    </row>
    <row r="549" spans="3:3" x14ac:dyDescent="0.25">
      <c r="C549" s="326"/>
    </row>
    <row r="550" spans="3:3" x14ac:dyDescent="0.25">
      <c r="C550" s="326"/>
    </row>
    <row r="551" spans="3:3" x14ac:dyDescent="0.25">
      <c r="C551" s="326"/>
    </row>
    <row r="552" spans="3:3" x14ac:dyDescent="0.25">
      <c r="C552" s="326"/>
    </row>
    <row r="553" spans="3:3" x14ac:dyDescent="0.25">
      <c r="C553" s="326"/>
    </row>
    <row r="554" spans="3:3" x14ac:dyDescent="0.25">
      <c r="C554" s="326"/>
    </row>
    <row r="555" spans="3:3" x14ac:dyDescent="0.25">
      <c r="C555" s="326"/>
    </row>
    <row r="556" spans="3:3" x14ac:dyDescent="0.25">
      <c r="C556" s="326"/>
    </row>
    <row r="557" spans="3:3" x14ac:dyDescent="0.25">
      <c r="C557" s="326"/>
    </row>
    <row r="558" spans="3:3" x14ac:dyDescent="0.25">
      <c r="C558" s="326"/>
    </row>
    <row r="559" spans="3:3" x14ac:dyDescent="0.25">
      <c r="C559" s="326"/>
    </row>
    <row r="560" spans="3:3" x14ac:dyDescent="0.25">
      <c r="C560" s="326"/>
    </row>
    <row r="561" spans="3:3" x14ac:dyDescent="0.25">
      <c r="C561" s="326"/>
    </row>
    <row r="562" spans="3:3" x14ac:dyDescent="0.25">
      <c r="C562" s="326"/>
    </row>
    <row r="563" spans="3:3" x14ac:dyDescent="0.25">
      <c r="C563" s="326"/>
    </row>
    <row r="564" spans="3:3" x14ac:dyDescent="0.25">
      <c r="C564" s="326"/>
    </row>
    <row r="565" spans="3:3" x14ac:dyDescent="0.25">
      <c r="C565" s="326"/>
    </row>
    <row r="566" spans="3:3" x14ac:dyDescent="0.25">
      <c r="C566" s="326"/>
    </row>
    <row r="567" spans="3:3" x14ac:dyDescent="0.25">
      <c r="C567" s="326"/>
    </row>
    <row r="568" spans="3:3" x14ac:dyDescent="0.25">
      <c r="C568" s="326"/>
    </row>
    <row r="569" spans="3:3" x14ac:dyDescent="0.25">
      <c r="C569" s="326"/>
    </row>
    <row r="570" spans="3:3" x14ac:dyDescent="0.25">
      <c r="C570" s="326"/>
    </row>
    <row r="571" spans="3:3" x14ac:dyDescent="0.25">
      <c r="C571" s="326"/>
    </row>
    <row r="572" spans="3:3" x14ac:dyDescent="0.25">
      <c r="C572" s="326"/>
    </row>
    <row r="573" spans="3:3" x14ac:dyDescent="0.25">
      <c r="C573" s="326"/>
    </row>
    <row r="574" spans="3:3" x14ac:dyDescent="0.25">
      <c r="C574" s="326"/>
    </row>
    <row r="575" spans="3:3" x14ac:dyDescent="0.25">
      <c r="C575" s="326"/>
    </row>
    <row r="576" spans="3:3" x14ac:dyDescent="0.25">
      <c r="C576" s="326"/>
    </row>
    <row r="577" spans="3:3" x14ac:dyDescent="0.25">
      <c r="C577" s="326"/>
    </row>
    <row r="578" spans="3:3" x14ac:dyDescent="0.25">
      <c r="C578" s="326"/>
    </row>
    <row r="579" spans="3:3" x14ac:dyDescent="0.25">
      <c r="C579" s="326"/>
    </row>
    <row r="580" spans="3:3" x14ac:dyDescent="0.25">
      <c r="C580" s="326"/>
    </row>
    <row r="581" spans="3:3" x14ac:dyDescent="0.25">
      <c r="C581" s="326"/>
    </row>
    <row r="582" spans="3:3" x14ac:dyDescent="0.25">
      <c r="C582" s="326"/>
    </row>
    <row r="583" spans="3:3" x14ac:dyDescent="0.25">
      <c r="C583" s="326"/>
    </row>
    <row r="584" spans="3:3" x14ac:dyDescent="0.25">
      <c r="C584" s="326"/>
    </row>
    <row r="585" spans="3:3" x14ac:dyDescent="0.25">
      <c r="C585" s="326"/>
    </row>
    <row r="586" spans="3:3" x14ac:dyDescent="0.25">
      <c r="C586" s="326"/>
    </row>
    <row r="587" spans="3:3" x14ac:dyDescent="0.25">
      <c r="C587" s="326"/>
    </row>
    <row r="588" spans="3:3" x14ac:dyDescent="0.25">
      <c r="C588" s="326"/>
    </row>
    <row r="589" spans="3:3" x14ac:dyDescent="0.25">
      <c r="C589" s="326"/>
    </row>
    <row r="590" spans="3:3" x14ac:dyDescent="0.25">
      <c r="C590" s="326"/>
    </row>
    <row r="591" spans="3:3" x14ac:dyDescent="0.25">
      <c r="C591" s="326"/>
    </row>
    <row r="592" spans="3:3" x14ac:dyDescent="0.25">
      <c r="C592" s="326"/>
    </row>
    <row r="593" spans="3:3" x14ac:dyDescent="0.25">
      <c r="C593" s="326"/>
    </row>
    <row r="594" spans="3:3" x14ac:dyDescent="0.25">
      <c r="C594" s="326"/>
    </row>
    <row r="595" spans="3:3" x14ac:dyDescent="0.25">
      <c r="C595" s="326"/>
    </row>
    <row r="596" spans="3:3" x14ac:dyDescent="0.25">
      <c r="C596" s="326"/>
    </row>
    <row r="597" spans="3:3" x14ac:dyDescent="0.25">
      <c r="C597" s="326"/>
    </row>
    <row r="598" spans="3:3" x14ac:dyDescent="0.25">
      <c r="C598" s="326"/>
    </row>
    <row r="599" spans="3:3" x14ac:dyDescent="0.25">
      <c r="C599" s="326"/>
    </row>
    <row r="600" spans="3:3" x14ac:dyDescent="0.25">
      <c r="C600" s="326"/>
    </row>
    <row r="601" spans="3:3" x14ac:dyDescent="0.25">
      <c r="C601" s="326"/>
    </row>
    <row r="602" spans="3:3" x14ac:dyDescent="0.25">
      <c r="C602" s="326"/>
    </row>
    <row r="603" spans="3:3" x14ac:dyDescent="0.25">
      <c r="C603" s="326"/>
    </row>
    <row r="604" spans="3:3" x14ac:dyDescent="0.25">
      <c r="C604" s="326"/>
    </row>
    <row r="605" spans="3:3" x14ac:dyDescent="0.25">
      <c r="C605" s="326"/>
    </row>
    <row r="606" spans="3:3" x14ac:dyDescent="0.25">
      <c r="C606" s="326"/>
    </row>
    <row r="607" spans="3:3" x14ac:dyDescent="0.25">
      <c r="C607" s="326"/>
    </row>
    <row r="608" spans="3:3" x14ac:dyDescent="0.25">
      <c r="C608" s="326"/>
    </row>
    <row r="609" spans="3:3" x14ac:dyDescent="0.25">
      <c r="C609" s="326"/>
    </row>
    <row r="610" spans="3:3" x14ac:dyDescent="0.25">
      <c r="C610" s="326"/>
    </row>
    <row r="611" spans="3:3" x14ac:dyDescent="0.25">
      <c r="C611" s="326"/>
    </row>
    <row r="612" spans="3:3" x14ac:dyDescent="0.25">
      <c r="C612" s="326"/>
    </row>
    <row r="613" spans="3:3" x14ac:dyDescent="0.25">
      <c r="C613" s="326"/>
    </row>
    <row r="614" spans="3:3" x14ac:dyDescent="0.25">
      <c r="C614" s="326"/>
    </row>
    <row r="615" spans="3:3" x14ac:dyDescent="0.25">
      <c r="C615" s="326"/>
    </row>
    <row r="616" spans="3:3" x14ac:dyDescent="0.25">
      <c r="C616" s="326"/>
    </row>
    <row r="617" spans="3:3" x14ac:dyDescent="0.25">
      <c r="C617" s="326"/>
    </row>
    <row r="618" spans="3:3" x14ac:dyDescent="0.25">
      <c r="C618" s="326"/>
    </row>
    <row r="619" spans="3:3" x14ac:dyDescent="0.25">
      <c r="C619" s="326"/>
    </row>
    <row r="620" spans="3:3" x14ac:dyDescent="0.25">
      <c r="C620" s="326"/>
    </row>
    <row r="621" spans="3:3" x14ac:dyDescent="0.25">
      <c r="C621" s="326"/>
    </row>
    <row r="622" spans="3:3" x14ac:dyDescent="0.25">
      <c r="C622" s="326"/>
    </row>
    <row r="623" spans="3:3" x14ac:dyDescent="0.25">
      <c r="C623" s="326"/>
    </row>
    <row r="624" spans="3:3" x14ac:dyDescent="0.25">
      <c r="C624" s="326"/>
    </row>
    <row r="625" spans="3:3" x14ac:dyDescent="0.25">
      <c r="C625" s="326"/>
    </row>
    <row r="626" spans="3:3" x14ac:dyDescent="0.25">
      <c r="C626" s="326"/>
    </row>
    <row r="627" spans="3:3" x14ac:dyDescent="0.25">
      <c r="C627" s="326"/>
    </row>
    <row r="628" spans="3:3" x14ac:dyDescent="0.25">
      <c r="C628" s="326"/>
    </row>
    <row r="629" spans="3:3" x14ac:dyDescent="0.25">
      <c r="C629" s="326"/>
    </row>
    <row r="630" spans="3:3" x14ac:dyDescent="0.25">
      <c r="C630" s="326"/>
    </row>
    <row r="631" spans="3:3" x14ac:dyDescent="0.25">
      <c r="C631" s="326"/>
    </row>
    <row r="632" spans="3:3" x14ac:dyDescent="0.25">
      <c r="C632" s="326"/>
    </row>
    <row r="633" spans="3:3" x14ac:dyDescent="0.25">
      <c r="C633" s="326"/>
    </row>
    <row r="634" spans="3:3" x14ac:dyDescent="0.25">
      <c r="C634" s="326"/>
    </row>
    <row r="635" spans="3:3" x14ac:dyDescent="0.25">
      <c r="C635" s="326"/>
    </row>
    <row r="636" spans="3:3" x14ac:dyDescent="0.25">
      <c r="C636" s="326"/>
    </row>
    <row r="637" spans="3:3" x14ac:dyDescent="0.25">
      <c r="C637" s="326"/>
    </row>
    <row r="638" spans="3:3" x14ac:dyDescent="0.25">
      <c r="C638" s="326"/>
    </row>
    <row r="639" spans="3:3" x14ac:dyDescent="0.25">
      <c r="C639" s="326"/>
    </row>
    <row r="640" spans="3:3" x14ac:dyDescent="0.25">
      <c r="C640" s="326"/>
    </row>
    <row r="641" spans="3:3" x14ac:dyDescent="0.25">
      <c r="C641" s="326"/>
    </row>
    <row r="642" spans="3:3" x14ac:dyDescent="0.25">
      <c r="C642" s="326"/>
    </row>
    <row r="643" spans="3:3" x14ac:dyDescent="0.25">
      <c r="C643" s="326"/>
    </row>
    <row r="644" spans="3:3" x14ac:dyDescent="0.25">
      <c r="C644" s="326"/>
    </row>
    <row r="645" spans="3:3" x14ac:dyDescent="0.25">
      <c r="C645" s="326"/>
    </row>
    <row r="646" spans="3:3" x14ac:dyDescent="0.25">
      <c r="C646" s="326"/>
    </row>
    <row r="647" spans="3:3" x14ac:dyDescent="0.25">
      <c r="C647" s="326"/>
    </row>
    <row r="648" spans="3:3" x14ac:dyDescent="0.25">
      <c r="C648" s="326"/>
    </row>
    <row r="649" spans="3:3" x14ac:dyDescent="0.25">
      <c r="C649" s="326"/>
    </row>
    <row r="650" spans="3:3" x14ac:dyDescent="0.25">
      <c r="C650" s="326"/>
    </row>
    <row r="651" spans="3:3" x14ac:dyDescent="0.25">
      <c r="C651" s="326"/>
    </row>
    <row r="652" spans="3:3" x14ac:dyDescent="0.25">
      <c r="C652" s="326"/>
    </row>
    <row r="653" spans="3:3" x14ac:dyDescent="0.25">
      <c r="C653" s="326"/>
    </row>
    <row r="654" spans="3:3" x14ac:dyDescent="0.25">
      <c r="C654" s="326"/>
    </row>
    <row r="655" spans="3:3" x14ac:dyDescent="0.25">
      <c r="C655" s="326"/>
    </row>
    <row r="656" spans="3:3" x14ac:dyDescent="0.25">
      <c r="C656" s="326"/>
    </row>
    <row r="657" spans="3:3" x14ac:dyDescent="0.25">
      <c r="C657" s="326"/>
    </row>
    <row r="658" spans="3:3" x14ac:dyDescent="0.25">
      <c r="C658" s="326"/>
    </row>
    <row r="659" spans="3:3" x14ac:dyDescent="0.25">
      <c r="C659" s="326"/>
    </row>
    <row r="660" spans="3:3" x14ac:dyDescent="0.25">
      <c r="C660" s="326"/>
    </row>
    <row r="661" spans="3:3" x14ac:dyDescent="0.25">
      <c r="C661" s="326"/>
    </row>
    <row r="662" spans="3:3" x14ac:dyDescent="0.25">
      <c r="C662" s="326"/>
    </row>
    <row r="663" spans="3:3" x14ac:dyDescent="0.25">
      <c r="C663" s="326"/>
    </row>
    <row r="664" spans="3:3" x14ac:dyDescent="0.25">
      <c r="C664" s="326"/>
    </row>
    <row r="665" spans="3:3" x14ac:dyDescent="0.25">
      <c r="C665" s="326"/>
    </row>
    <row r="666" spans="3:3" x14ac:dyDescent="0.25">
      <c r="C666" s="326"/>
    </row>
    <row r="667" spans="3:3" x14ac:dyDescent="0.25">
      <c r="C667" s="326"/>
    </row>
    <row r="668" spans="3:3" x14ac:dyDescent="0.25">
      <c r="C668" s="326"/>
    </row>
    <row r="669" spans="3:3" x14ac:dyDescent="0.25">
      <c r="C669" s="326"/>
    </row>
    <row r="670" spans="3:3" x14ac:dyDescent="0.25">
      <c r="C670" s="326"/>
    </row>
    <row r="671" spans="3:3" x14ac:dyDescent="0.25">
      <c r="C671" s="326"/>
    </row>
    <row r="672" spans="3:3" x14ac:dyDescent="0.25">
      <c r="C672" s="326"/>
    </row>
    <row r="673" spans="3:3" x14ac:dyDescent="0.25">
      <c r="C673" s="326"/>
    </row>
    <row r="674" spans="3:3" x14ac:dyDescent="0.25">
      <c r="C674" s="326"/>
    </row>
    <row r="675" spans="3:3" x14ac:dyDescent="0.25">
      <c r="C675" s="326"/>
    </row>
    <row r="676" spans="3:3" x14ac:dyDescent="0.25">
      <c r="C676" s="326"/>
    </row>
    <row r="677" spans="3:3" x14ac:dyDescent="0.25">
      <c r="C677" s="326"/>
    </row>
    <row r="678" spans="3:3" x14ac:dyDescent="0.25">
      <c r="C678" s="326"/>
    </row>
    <row r="679" spans="3:3" x14ac:dyDescent="0.25">
      <c r="C679" s="326"/>
    </row>
    <row r="680" spans="3:3" x14ac:dyDescent="0.25">
      <c r="C680" s="326"/>
    </row>
    <row r="681" spans="3:3" x14ac:dyDescent="0.25">
      <c r="C681" s="326"/>
    </row>
    <row r="682" spans="3:3" x14ac:dyDescent="0.25">
      <c r="C682" s="326"/>
    </row>
    <row r="683" spans="3:3" x14ac:dyDescent="0.25">
      <c r="C683" s="326"/>
    </row>
    <row r="684" spans="3:3" x14ac:dyDescent="0.25">
      <c r="C684" s="326"/>
    </row>
    <row r="685" spans="3:3" x14ac:dyDescent="0.25">
      <c r="C685" s="326"/>
    </row>
    <row r="686" spans="3:3" x14ac:dyDescent="0.25">
      <c r="C686" s="326"/>
    </row>
    <row r="687" spans="3:3" x14ac:dyDescent="0.25">
      <c r="C687" s="326"/>
    </row>
    <row r="688" spans="3:3" x14ac:dyDescent="0.25">
      <c r="C688" s="326"/>
    </row>
    <row r="689" spans="3:3" x14ac:dyDescent="0.25">
      <c r="C689" s="326"/>
    </row>
    <row r="690" spans="3:3" x14ac:dyDescent="0.25">
      <c r="C690" s="326"/>
    </row>
    <row r="691" spans="3:3" x14ac:dyDescent="0.25">
      <c r="C691" s="326"/>
    </row>
    <row r="692" spans="3:3" x14ac:dyDescent="0.25">
      <c r="C692" s="326"/>
    </row>
    <row r="693" spans="3:3" x14ac:dyDescent="0.25">
      <c r="C693" s="326"/>
    </row>
    <row r="694" spans="3:3" x14ac:dyDescent="0.25">
      <c r="C694" s="326"/>
    </row>
    <row r="695" spans="3:3" x14ac:dyDescent="0.25">
      <c r="C695" s="326"/>
    </row>
    <row r="696" spans="3:3" x14ac:dyDescent="0.25">
      <c r="C696" s="326"/>
    </row>
    <row r="697" spans="3:3" x14ac:dyDescent="0.25">
      <c r="C697" s="326"/>
    </row>
    <row r="698" spans="3:3" x14ac:dyDescent="0.25">
      <c r="C698" s="326"/>
    </row>
    <row r="699" spans="3:3" x14ac:dyDescent="0.25">
      <c r="C699" s="326"/>
    </row>
    <row r="700" spans="3:3" x14ac:dyDescent="0.25">
      <c r="C700" s="326"/>
    </row>
    <row r="701" spans="3:3" x14ac:dyDescent="0.25">
      <c r="C701" s="326"/>
    </row>
    <row r="702" spans="3:3" x14ac:dyDescent="0.25">
      <c r="C702" s="326"/>
    </row>
    <row r="703" spans="3:3" x14ac:dyDescent="0.25">
      <c r="C703" s="326"/>
    </row>
    <row r="704" spans="3:3" x14ac:dyDescent="0.25">
      <c r="C704" s="326"/>
    </row>
    <row r="705" spans="3:3" x14ac:dyDescent="0.25">
      <c r="C705" s="326"/>
    </row>
    <row r="706" spans="3:3" x14ac:dyDescent="0.25">
      <c r="C706" s="326"/>
    </row>
    <row r="707" spans="3:3" x14ac:dyDescent="0.25">
      <c r="C707" s="326"/>
    </row>
    <row r="708" spans="3:3" x14ac:dyDescent="0.25">
      <c r="C708" s="326"/>
    </row>
    <row r="709" spans="3:3" x14ac:dyDescent="0.25">
      <c r="C709" s="326"/>
    </row>
    <row r="710" spans="3:3" x14ac:dyDescent="0.25">
      <c r="C710" s="326"/>
    </row>
    <row r="711" spans="3:3" x14ac:dyDescent="0.25">
      <c r="C711" s="326"/>
    </row>
    <row r="712" spans="3:3" x14ac:dyDescent="0.25">
      <c r="C712" s="326"/>
    </row>
    <row r="713" spans="3:3" x14ac:dyDescent="0.25">
      <c r="C713" s="326"/>
    </row>
    <row r="714" spans="3:3" x14ac:dyDescent="0.25">
      <c r="C714" s="326"/>
    </row>
    <row r="715" spans="3:3" x14ac:dyDescent="0.25">
      <c r="C715" s="326"/>
    </row>
    <row r="716" spans="3:3" x14ac:dyDescent="0.25">
      <c r="C716" s="326"/>
    </row>
    <row r="717" spans="3:3" x14ac:dyDescent="0.25">
      <c r="C717" s="326"/>
    </row>
    <row r="718" spans="3:3" x14ac:dyDescent="0.25">
      <c r="C718" s="326"/>
    </row>
    <row r="719" spans="3:3" x14ac:dyDescent="0.25">
      <c r="C719" s="326"/>
    </row>
    <row r="720" spans="3:3" x14ac:dyDescent="0.25">
      <c r="C720" s="326"/>
    </row>
    <row r="721" spans="3:3" x14ac:dyDescent="0.25">
      <c r="C721" s="326"/>
    </row>
    <row r="722" spans="3:3" x14ac:dyDescent="0.25">
      <c r="C722" s="326"/>
    </row>
    <row r="723" spans="3:3" x14ac:dyDescent="0.25">
      <c r="C723" s="326"/>
    </row>
    <row r="724" spans="3:3" x14ac:dyDescent="0.25">
      <c r="C724" s="326"/>
    </row>
    <row r="725" spans="3:3" x14ac:dyDescent="0.25">
      <c r="C725" s="326"/>
    </row>
    <row r="726" spans="3:3" x14ac:dyDescent="0.25">
      <c r="C726" s="326"/>
    </row>
    <row r="727" spans="3:3" x14ac:dyDescent="0.25">
      <c r="C727" s="326"/>
    </row>
    <row r="728" spans="3:3" x14ac:dyDescent="0.25">
      <c r="C728" s="326"/>
    </row>
    <row r="729" spans="3:3" x14ac:dyDescent="0.25">
      <c r="C729" s="326"/>
    </row>
    <row r="730" spans="3:3" x14ac:dyDescent="0.25">
      <c r="C730" s="326"/>
    </row>
    <row r="731" spans="3:3" x14ac:dyDescent="0.25">
      <c r="C731" s="326"/>
    </row>
    <row r="732" spans="3:3" x14ac:dyDescent="0.25">
      <c r="C732" s="326"/>
    </row>
    <row r="733" spans="3:3" x14ac:dyDescent="0.25">
      <c r="C733" s="326"/>
    </row>
    <row r="734" spans="3:3" x14ac:dyDescent="0.25">
      <c r="C734" s="326"/>
    </row>
    <row r="735" spans="3:3" x14ac:dyDescent="0.25">
      <c r="C735" s="326"/>
    </row>
    <row r="736" spans="3:3" x14ac:dyDescent="0.25">
      <c r="C736" s="326"/>
    </row>
    <row r="737" spans="3:3" x14ac:dyDescent="0.25">
      <c r="C737" s="326"/>
    </row>
    <row r="738" spans="3:3" x14ac:dyDescent="0.25">
      <c r="C738" s="326"/>
    </row>
    <row r="739" spans="3:3" x14ac:dyDescent="0.25">
      <c r="C739" s="326"/>
    </row>
    <row r="740" spans="3:3" x14ac:dyDescent="0.25">
      <c r="C740" s="326"/>
    </row>
    <row r="741" spans="3:3" x14ac:dyDescent="0.25">
      <c r="C741" s="326"/>
    </row>
    <row r="742" spans="3:3" x14ac:dyDescent="0.25">
      <c r="C742" s="326"/>
    </row>
    <row r="743" spans="3:3" x14ac:dyDescent="0.25">
      <c r="C743" s="326"/>
    </row>
    <row r="744" spans="3:3" x14ac:dyDescent="0.25">
      <c r="C744" s="326"/>
    </row>
    <row r="745" spans="3:3" x14ac:dyDescent="0.25">
      <c r="C745" s="326"/>
    </row>
    <row r="746" spans="3:3" x14ac:dyDescent="0.25">
      <c r="C746" s="326"/>
    </row>
    <row r="747" spans="3:3" x14ac:dyDescent="0.25">
      <c r="C747" s="326"/>
    </row>
    <row r="748" spans="3:3" x14ac:dyDescent="0.25">
      <c r="C748" s="326"/>
    </row>
    <row r="749" spans="3:3" x14ac:dyDescent="0.25">
      <c r="C749" s="326"/>
    </row>
    <row r="750" spans="3:3" x14ac:dyDescent="0.25">
      <c r="C750" s="326"/>
    </row>
    <row r="751" spans="3:3" x14ac:dyDescent="0.25">
      <c r="C751" s="326"/>
    </row>
    <row r="752" spans="3:3" x14ac:dyDescent="0.25">
      <c r="C752" s="326"/>
    </row>
    <row r="753" spans="3:3" x14ac:dyDescent="0.25">
      <c r="C753" s="326"/>
    </row>
    <row r="754" spans="3:3" x14ac:dyDescent="0.25">
      <c r="C754" s="326"/>
    </row>
    <row r="755" spans="3:3" x14ac:dyDescent="0.25">
      <c r="C755" s="326"/>
    </row>
    <row r="756" spans="3:3" x14ac:dyDescent="0.25">
      <c r="C756" s="326"/>
    </row>
    <row r="757" spans="3:3" x14ac:dyDescent="0.25">
      <c r="C757" s="326"/>
    </row>
    <row r="758" spans="3:3" x14ac:dyDescent="0.25">
      <c r="C758" s="326"/>
    </row>
    <row r="759" spans="3:3" x14ac:dyDescent="0.25">
      <c r="C759" s="326"/>
    </row>
    <row r="760" spans="3:3" x14ac:dyDescent="0.25">
      <c r="C760" s="326"/>
    </row>
    <row r="761" spans="3:3" x14ac:dyDescent="0.25">
      <c r="C761" s="326"/>
    </row>
    <row r="762" spans="3:3" x14ac:dyDescent="0.25">
      <c r="C762" s="326"/>
    </row>
    <row r="763" spans="3:3" x14ac:dyDescent="0.25">
      <c r="C763" s="326"/>
    </row>
    <row r="764" spans="3:3" x14ac:dyDescent="0.25">
      <c r="C764" s="326"/>
    </row>
    <row r="765" spans="3:3" x14ac:dyDescent="0.25">
      <c r="C765" s="326"/>
    </row>
    <row r="766" spans="3:3" x14ac:dyDescent="0.25">
      <c r="C766" s="326"/>
    </row>
    <row r="767" spans="3:3" x14ac:dyDescent="0.25">
      <c r="C767" s="326"/>
    </row>
    <row r="768" spans="3:3" x14ac:dyDescent="0.25">
      <c r="C768" s="326"/>
    </row>
    <row r="769" spans="3:3" x14ac:dyDescent="0.25">
      <c r="C769" s="326"/>
    </row>
    <row r="770" spans="3:3" x14ac:dyDescent="0.25">
      <c r="C770" s="326"/>
    </row>
    <row r="771" spans="3:3" x14ac:dyDescent="0.25">
      <c r="C771" s="326"/>
    </row>
    <row r="772" spans="3:3" x14ac:dyDescent="0.25">
      <c r="C772" s="326"/>
    </row>
    <row r="773" spans="3:3" x14ac:dyDescent="0.25">
      <c r="C773" s="326"/>
    </row>
    <row r="774" spans="3:3" x14ac:dyDescent="0.25">
      <c r="C774" s="326"/>
    </row>
    <row r="775" spans="3:3" x14ac:dyDescent="0.25">
      <c r="C775" s="326"/>
    </row>
    <row r="776" spans="3:3" x14ac:dyDescent="0.25">
      <c r="C776" s="326"/>
    </row>
    <row r="777" spans="3:3" x14ac:dyDescent="0.25">
      <c r="C777" s="326"/>
    </row>
    <row r="778" spans="3:3" x14ac:dyDescent="0.25">
      <c r="C778" s="326"/>
    </row>
    <row r="779" spans="3:3" x14ac:dyDescent="0.25">
      <c r="C779" s="326"/>
    </row>
    <row r="780" spans="3:3" x14ac:dyDescent="0.25">
      <c r="C780" s="326"/>
    </row>
    <row r="781" spans="3:3" x14ac:dyDescent="0.25">
      <c r="C781" s="326"/>
    </row>
    <row r="782" spans="3:3" x14ac:dyDescent="0.25">
      <c r="C782" s="326"/>
    </row>
    <row r="783" spans="3:3" x14ac:dyDescent="0.25">
      <c r="C783" s="326"/>
    </row>
    <row r="784" spans="3:3" x14ac:dyDescent="0.25">
      <c r="C784" s="326"/>
    </row>
    <row r="785" spans="3:3" x14ac:dyDescent="0.25">
      <c r="C785" s="326"/>
    </row>
    <row r="786" spans="3:3" x14ac:dyDescent="0.25">
      <c r="C786" s="326"/>
    </row>
    <row r="787" spans="3:3" x14ac:dyDescent="0.25">
      <c r="C787" s="326"/>
    </row>
    <row r="788" spans="3:3" x14ac:dyDescent="0.25">
      <c r="C788" s="326"/>
    </row>
    <row r="789" spans="3:3" x14ac:dyDescent="0.25">
      <c r="C789" s="326"/>
    </row>
    <row r="790" spans="3:3" x14ac:dyDescent="0.25">
      <c r="C790" s="326"/>
    </row>
    <row r="791" spans="3:3" x14ac:dyDescent="0.25">
      <c r="C791" s="326"/>
    </row>
    <row r="792" spans="3:3" x14ac:dyDescent="0.25">
      <c r="C792" s="326"/>
    </row>
    <row r="793" spans="3:3" x14ac:dyDescent="0.25">
      <c r="C793" s="326"/>
    </row>
    <row r="794" spans="3:3" x14ac:dyDescent="0.25">
      <c r="C794" s="326"/>
    </row>
    <row r="795" spans="3:3" x14ac:dyDescent="0.25">
      <c r="C795" s="326"/>
    </row>
    <row r="796" spans="3:3" x14ac:dyDescent="0.25">
      <c r="C796" s="326"/>
    </row>
    <row r="797" spans="3:3" x14ac:dyDescent="0.25">
      <c r="C797" s="326"/>
    </row>
    <row r="798" spans="3:3" x14ac:dyDescent="0.25">
      <c r="C798" s="326"/>
    </row>
    <row r="799" spans="3:3" x14ac:dyDescent="0.25">
      <c r="C799" s="326"/>
    </row>
    <row r="800" spans="3:3" x14ac:dyDescent="0.25">
      <c r="C800" s="326"/>
    </row>
    <row r="801" spans="3:3" x14ac:dyDescent="0.25">
      <c r="C801" s="326"/>
    </row>
    <row r="802" spans="3:3" x14ac:dyDescent="0.25">
      <c r="C802" s="326"/>
    </row>
    <row r="803" spans="3:3" x14ac:dyDescent="0.25">
      <c r="C803" s="326"/>
    </row>
    <row r="804" spans="3:3" x14ac:dyDescent="0.25">
      <c r="C804" s="326"/>
    </row>
    <row r="805" spans="3:3" x14ac:dyDescent="0.25">
      <c r="C805" s="326"/>
    </row>
    <row r="806" spans="3:3" x14ac:dyDescent="0.25">
      <c r="C806" s="326"/>
    </row>
    <row r="807" spans="3:3" x14ac:dyDescent="0.25">
      <c r="C807" s="326"/>
    </row>
    <row r="808" spans="3:3" x14ac:dyDescent="0.25">
      <c r="C808" s="326"/>
    </row>
    <row r="809" spans="3:3" x14ac:dyDescent="0.25">
      <c r="C809" s="326"/>
    </row>
    <row r="810" spans="3:3" x14ac:dyDescent="0.25">
      <c r="C810" s="326"/>
    </row>
    <row r="811" spans="3:3" x14ac:dyDescent="0.25">
      <c r="C811" s="326"/>
    </row>
    <row r="812" spans="3:3" x14ac:dyDescent="0.25">
      <c r="C812" s="326"/>
    </row>
    <row r="813" spans="3:3" x14ac:dyDescent="0.25">
      <c r="C813" s="326"/>
    </row>
    <row r="814" spans="3:3" x14ac:dyDescent="0.25">
      <c r="C814" s="326"/>
    </row>
    <row r="815" spans="3:3" x14ac:dyDescent="0.25">
      <c r="C815" s="326"/>
    </row>
    <row r="816" spans="3:3" x14ac:dyDescent="0.25">
      <c r="C816" s="326"/>
    </row>
    <row r="817" spans="3:3" x14ac:dyDescent="0.25">
      <c r="C817" s="326"/>
    </row>
    <row r="818" spans="3:3" x14ac:dyDescent="0.25">
      <c r="C818" s="326"/>
    </row>
    <row r="819" spans="3:3" x14ac:dyDescent="0.25">
      <c r="C819" s="326"/>
    </row>
    <row r="820" spans="3:3" x14ac:dyDescent="0.25">
      <c r="C820" s="326"/>
    </row>
    <row r="821" spans="3:3" x14ac:dyDescent="0.25">
      <c r="C821" s="326"/>
    </row>
    <row r="822" spans="3:3" x14ac:dyDescent="0.25">
      <c r="C822" s="326"/>
    </row>
    <row r="823" spans="3:3" x14ac:dyDescent="0.25">
      <c r="C823" s="326"/>
    </row>
    <row r="824" spans="3:3" x14ac:dyDescent="0.25">
      <c r="C824" s="326"/>
    </row>
    <row r="825" spans="3:3" x14ac:dyDescent="0.25">
      <c r="C825" s="326"/>
    </row>
    <row r="826" spans="3:3" x14ac:dyDescent="0.25">
      <c r="C826" s="326"/>
    </row>
    <row r="827" spans="3:3" x14ac:dyDescent="0.25">
      <c r="C827" s="326"/>
    </row>
    <row r="828" spans="3:3" x14ac:dyDescent="0.25">
      <c r="C828" s="326"/>
    </row>
    <row r="829" spans="3:3" x14ac:dyDescent="0.25">
      <c r="C829" s="326"/>
    </row>
    <row r="830" spans="3:3" x14ac:dyDescent="0.25">
      <c r="C830" s="326"/>
    </row>
    <row r="831" spans="3:3" x14ac:dyDescent="0.25">
      <c r="C831" s="326"/>
    </row>
    <row r="832" spans="3:3" x14ac:dyDescent="0.25">
      <c r="C832" s="326"/>
    </row>
    <row r="833" spans="3:3" x14ac:dyDescent="0.25">
      <c r="C833" s="326"/>
    </row>
    <row r="834" spans="3:3" x14ac:dyDescent="0.25">
      <c r="C834" s="326"/>
    </row>
    <row r="835" spans="3:3" x14ac:dyDescent="0.25">
      <c r="C835" s="326"/>
    </row>
    <row r="836" spans="3:3" x14ac:dyDescent="0.25">
      <c r="C836" s="326"/>
    </row>
    <row r="837" spans="3:3" x14ac:dyDescent="0.25">
      <c r="C837" s="326"/>
    </row>
    <row r="838" spans="3:3" x14ac:dyDescent="0.25">
      <c r="C838" s="326"/>
    </row>
    <row r="839" spans="3:3" x14ac:dyDescent="0.25">
      <c r="C839" s="326"/>
    </row>
    <row r="840" spans="3:3" x14ac:dyDescent="0.25">
      <c r="C840" s="326"/>
    </row>
    <row r="841" spans="3:3" x14ac:dyDescent="0.25">
      <c r="C841" s="326"/>
    </row>
    <row r="842" spans="3:3" x14ac:dyDescent="0.25">
      <c r="C842" s="326"/>
    </row>
    <row r="843" spans="3:3" x14ac:dyDescent="0.25">
      <c r="C843" s="326"/>
    </row>
    <row r="844" spans="3:3" x14ac:dyDescent="0.25">
      <c r="C844" s="326"/>
    </row>
    <row r="845" spans="3:3" x14ac:dyDescent="0.25">
      <c r="C845" s="326"/>
    </row>
    <row r="846" spans="3:3" x14ac:dyDescent="0.25">
      <c r="C846" s="326"/>
    </row>
    <row r="847" spans="3:3" x14ac:dyDescent="0.25">
      <c r="C847" s="326"/>
    </row>
    <row r="848" spans="3:3" x14ac:dyDescent="0.25">
      <c r="C848" s="326"/>
    </row>
    <row r="849" spans="3:3" x14ac:dyDescent="0.25">
      <c r="C849" s="326"/>
    </row>
    <row r="850" spans="3:3" x14ac:dyDescent="0.25">
      <c r="C850" s="326"/>
    </row>
    <row r="851" spans="3:3" x14ac:dyDescent="0.25">
      <c r="C851" s="326"/>
    </row>
    <row r="852" spans="3:3" x14ac:dyDescent="0.25">
      <c r="C852" s="326"/>
    </row>
    <row r="853" spans="3:3" x14ac:dyDescent="0.25">
      <c r="C853" s="326"/>
    </row>
    <row r="854" spans="3:3" x14ac:dyDescent="0.25">
      <c r="C854" s="326"/>
    </row>
    <row r="855" spans="3:3" x14ac:dyDescent="0.25">
      <c r="C855" s="326"/>
    </row>
    <row r="856" spans="3:3" x14ac:dyDescent="0.25">
      <c r="C856" s="326"/>
    </row>
    <row r="857" spans="3:3" x14ac:dyDescent="0.25">
      <c r="C857" s="326"/>
    </row>
    <row r="858" spans="3:3" x14ac:dyDescent="0.25">
      <c r="C858" s="326"/>
    </row>
    <row r="859" spans="3:3" x14ac:dyDescent="0.25">
      <c r="C859" s="326"/>
    </row>
    <row r="860" spans="3:3" x14ac:dyDescent="0.25">
      <c r="C860" s="326"/>
    </row>
    <row r="861" spans="3:3" x14ac:dyDescent="0.25">
      <c r="C861" s="326"/>
    </row>
    <row r="862" spans="3:3" x14ac:dyDescent="0.25">
      <c r="C862" s="326"/>
    </row>
    <row r="863" spans="3:3" x14ac:dyDescent="0.25">
      <c r="C863" s="326"/>
    </row>
    <row r="864" spans="3:3" x14ac:dyDescent="0.25">
      <c r="C864" s="326"/>
    </row>
    <row r="865" spans="3:3" x14ac:dyDescent="0.25">
      <c r="C865" s="326"/>
    </row>
    <row r="866" spans="3:3" x14ac:dyDescent="0.25">
      <c r="C866" s="326"/>
    </row>
    <row r="867" spans="3:3" x14ac:dyDescent="0.25">
      <c r="C867" s="326"/>
    </row>
    <row r="868" spans="3:3" x14ac:dyDescent="0.25">
      <c r="C868" s="326"/>
    </row>
    <row r="869" spans="3:3" x14ac:dyDescent="0.25">
      <c r="C869" s="326"/>
    </row>
    <row r="870" spans="3:3" x14ac:dyDescent="0.25">
      <c r="C870" s="326"/>
    </row>
    <row r="871" spans="3:3" x14ac:dyDescent="0.25">
      <c r="C871" s="326"/>
    </row>
    <row r="872" spans="3:3" x14ac:dyDescent="0.25">
      <c r="C872" s="326"/>
    </row>
    <row r="873" spans="3:3" x14ac:dyDescent="0.25">
      <c r="C873" s="326"/>
    </row>
    <row r="874" spans="3:3" x14ac:dyDescent="0.25">
      <c r="C874" s="326"/>
    </row>
    <row r="875" spans="3:3" x14ac:dyDescent="0.25">
      <c r="C875" s="326"/>
    </row>
    <row r="876" spans="3:3" x14ac:dyDescent="0.25">
      <c r="C876" s="326"/>
    </row>
    <row r="877" spans="3:3" x14ac:dyDescent="0.25">
      <c r="C877" s="326"/>
    </row>
    <row r="878" spans="3:3" x14ac:dyDescent="0.25">
      <c r="C878" s="326"/>
    </row>
    <row r="879" spans="3:3" x14ac:dyDescent="0.25">
      <c r="C879" s="326"/>
    </row>
    <row r="880" spans="3:3" x14ac:dyDescent="0.25">
      <c r="C880" s="326"/>
    </row>
    <row r="881" spans="3:3" x14ac:dyDescent="0.25">
      <c r="C881" s="326"/>
    </row>
    <row r="882" spans="3:3" x14ac:dyDescent="0.25">
      <c r="C882" s="326"/>
    </row>
    <row r="883" spans="3:3" x14ac:dyDescent="0.25">
      <c r="C883" s="326"/>
    </row>
    <row r="884" spans="3:3" x14ac:dyDescent="0.25">
      <c r="C884" s="326"/>
    </row>
    <row r="885" spans="3:3" x14ac:dyDescent="0.25">
      <c r="C885" s="326"/>
    </row>
    <row r="886" spans="3:3" x14ac:dyDescent="0.25">
      <c r="C886" s="326"/>
    </row>
    <row r="887" spans="3:3" x14ac:dyDescent="0.25">
      <c r="C887" s="326"/>
    </row>
    <row r="888" spans="3:3" x14ac:dyDescent="0.25">
      <c r="C888" s="326"/>
    </row>
    <row r="889" spans="3:3" x14ac:dyDescent="0.25">
      <c r="C889" s="326"/>
    </row>
    <row r="890" spans="3:3" x14ac:dyDescent="0.25">
      <c r="C890" s="326"/>
    </row>
    <row r="891" spans="3:3" x14ac:dyDescent="0.25">
      <c r="C891" s="326"/>
    </row>
    <row r="892" spans="3:3" x14ac:dyDescent="0.25">
      <c r="C892" s="326"/>
    </row>
    <row r="893" spans="3:3" x14ac:dyDescent="0.25">
      <c r="C893" s="326"/>
    </row>
    <row r="894" spans="3:3" x14ac:dyDescent="0.25">
      <c r="C894" s="326"/>
    </row>
    <row r="895" spans="3:3" x14ac:dyDescent="0.25">
      <c r="C895" s="326"/>
    </row>
    <row r="896" spans="3:3" x14ac:dyDescent="0.25">
      <c r="C896" s="326"/>
    </row>
    <row r="897" spans="3:3" x14ac:dyDescent="0.25">
      <c r="C897" s="326"/>
    </row>
    <row r="898" spans="3:3" x14ac:dyDescent="0.25">
      <c r="C898" s="326"/>
    </row>
    <row r="899" spans="3:3" x14ac:dyDescent="0.25">
      <c r="C899" s="326"/>
    </row>
    <row r="900" spans="3:3" x14ac:dyDescent="0.25">
      <c r="C900" s="326"/>
    </row>
    <row r="901" spans="3:3" x14ac:dyDescent="0.25">
      <c r="C901" s="326"/>
    </row>
    <row r="902" spans="3:3" x14ac:dyDescent="0.25">
      <c r="C902" s="326"/>
    </row>
    <row r="903" spans="3:3" x14ac:dyDescent="0.25">
      <c r="C903" s="326"/>
    </row>
    <row r="904" spans="3:3" x14ac:dyDescent="0.25">
      <c r="C904" s="326"/>
    </row>
    <row r="905" spans="3:3" x14ac:dyDescent="0.25">
      <c r="C905" s="326"/>
    </row>
    <row r="906" spans="3:3" x14ac:dyDescent="0.25">
      <c r="C906" s="326"/>
    </row>
    <row r="907" spans="3:3" x14ac:dyDescent="0.25">
      <c r="C907" s="326"/>
    </row>
    <row r="908" spans="3:3" x14ac:dyDescent="0.25">
      <c r="C908" s="326"/>
    </row>
    <row r="909" spans="3:3" x14ac:dyDescent="0.25">
      <c r="C909" s="326"/>
    </row>
    <row r="910" spans="3:3" x14ac:dyDescent="0.25">
      <c r="C910" s="326"/>
    </row>
    <row r="911" spans="3:3" x14ac:dyDescent="0.25">
      <c r="C911" s="326"/>
    </row>
    <row r="912" spans="3:3" x14ac:dyDescent="0.25">
      <c r="C912" s="326"/>
    </row>
    <row r="913" spans="3:3" x14ac:dyDescent="0.25">
      <c r="C913" s="326"/>
    </row>
    <row r="914" spans="3:3" x14ac:dyDescent="0.25">
      <c r="C914" s="326"/>
    </row>
    <row r="915" spans="3:3" x14ac:dyDescent="0.25">
      <c r="C915" s="326"/>
    </row>
    <row r="916" spans="3:3" x14ac:dyDescent="0.25">
      <c r="C916" s="326"/>
    </row>
    <row r="917" spans="3:3" x14ac:dyDescent="0.25">
      <c r="C917" s="326"/>
    </row>
    <row r="918" spans="3:3" x14ac:dyDescent="0.25">
      <c r="C918" s="326"/>
    </row>
    <row r="919" spans="3:3" x14ac:dyDescent="0.25">
      <c r="C919" s="326"/>
    </row>
    <row r="920" spans="3:3" x14ac:dyDescent="0.25">
      <c r="C920" s="326"/>
    </row>
    <row r="921" spans="3:3" x14ac:dyDescent="0.25">
      <c r="C921" s="326"/>
    </row>
    <row r="922" spans="3:3" x14ac:dyDescent="0.25">
      <c r="C922" s="326"/>
    </row>
    <row r="923" spans="3:3" x14ac:dyDescent="0.25">
      <c r="C923" s="326"/>
    </row>
    <row r="924" spans="3:3" x14ac:dyDescent="0.25">
      <c r="C924" s="326"/>
    </row>
    <row r="925" spans="3:3" x14ac:dyDescent="0.25">
      <c r="C925" s="326"/>
    </row>
    <row r="926" spans="3:3" x14ac:dyDescent="0.25">
      <c r="C926" s="326"/>
    </row>
    <row r="927" spans="3:3" x14ac:dyDescent="0.25">
      <c r="C927" s="326"/>
    </row>
    <row r="928" spans="3:3" x14ac:dyDescent="0.25">
      <c r="C928" s="326"/>
    </row>
    <row r="929" spans="3:3" x14ac:dyDescent="0.25">
      <c r="C929" s="326"/>
    </row>
    <row r="930" spans="3:3" x14ac:dyDescent="0.25">
      <c r="C930" s="326"/>
    </row>
    <row r="931" spans="3:3" x14ac:dyDescent="0.25">
      <c r="C931" s="326"/>
    </row>
    <row r="932" spans="3:3" x14ac:dyDescent="0.25">
      <c r="C932" s="326"/>
    </row>
    <row r="933" spans="3:3" x14ac:dyDescent="0.25">
      <c r="C933" s="326"/>
    </row>
    <row r="934" spans="3:3" x14ac:dyDescent="0.25">
      <c r="C934" s="326"/>
    </row>
    <row r="935" spans="3:3" x14ac:dyDescent="0.25">
      <c r="C935" s="326"/>
    </row>
    <row r="936" spans="3:3" x14ac:dyDescent="0.25">
      <c r="C936" s="326"/>
    </row>
    <row r="937" spans="3:3" x14ac:dyDescent="0.25">
      <c r="C937" s="326"/>
    </row>
    <row r="938" spans="3:3" x14ac:dyDescent="0.25">
      <c r="C938" s="326"/>
    </row>
    <row r="939" spans="3:3" x14ac:dyDescent="0.25">
      <c r="C939" s="326"/>
    </row>
    <row r="940" spans="3:3" x14ac:dyDescent="0.25">
      <c r="C940" s="326"/>
    </row>
    <row r="941" spans="3:3" x14ac:dyDescent="0.25">
      <c r="C941" s="326"/>
    </row>
    <row r="942" spans="3:3" x14ac:dyDescent="0.25">
      <c r="C942" s="326"/>
    </row>
    <row r="943" spans="3:3" x14ac:dyDescent="0.25">
      <c r="C943" s="326"/>
    </row>
    <row r="944" spans="3:3" x14ac:dyDescent="0.25">
      <c r="C944" s="326"/>
    </row>
    <row r="945" spans="3:3" x14ac:dyDescent="0.25">
      <c r="C945" s="326"/>
    </row>
    <row r="946" spans="3:3" x14ac:dyDescent="0.25">
      <c r="C946" s="326"/>
    </row>
    <row r="947" spans="3:3" x14ac:dyDescent="0.25">
      <c r="C947" s="326"/>
    </row>
    <row r="948" spans="3:3" x14ac:dyDescent="0.25">
      <c r="C948" s="326"/>
    </row>
    <row r="949" spans="3:3" x14ac:dyDescent="0.25">
      <c r="C949" s="326"/>
    </row>
    <row r="950" spans="3:3" x14ac:dyDescent="0.25">
      <c r="C950" s="326"/>
    </row>
    <row r="951" spans="3:3" x14ac:dyDescent="0.25">
      <c r="C951" s="326"/>
    </row>
    <row r="952" spans="3:3" x14ac:dyDescent="0.25">
      <c r="C952" s="326"/>
    </row>
    <row r="953" spans="3:3" x14ac:dyDescent="0.25">
      <c r="C953" s="326"/>
    </row>
    <row r="954" spans="3:3" x14ac:dyDescent="0.25">
      <c r="C954" s="326"/>
    </row>
    <row r="955" spans="3:3" x14ac:dyDescent="0.25">
      <c r="C955" s="326"/>
    </row>
    <row r="956" spans="3:3" x14ac:dyDescent="0.25">
      <c r="C956" s="326"/>
    </row>
    <row r="957" spans="3:3" x14ac:dyDescent="0.25">
      <c r="C957" s="326"/>
    </row>
    <row r="958" spans="3:3" x14ac:dyDescent="0.25">
      <c r="C958" s="326"/>
    </row>
    <row r="959" spans="3:3" x14ac:dyDescent="0.25">
      <c r="C959" s="326"/>
    </row>
    <row r="960" spans="3:3" x14ac:dyDescent="0.25">
      <c r="C960" s="326"/>
    </row>
    <row r="961" spans="3:3" x14ac:dyDescent="0.25">
      <c r="C961" s="326"/>
    </row>
    <row r="962" spans="3:3" x14ac:dyDescent="0.25">
      <c r="C962" s="326"/>
    </row>
    <row r="963" spans="3:3" x14ac:dyDescent="0.25">
      <c r="C963" s="326"/>
    </row>
    <row r="964" spans="3:3" x14ac:dyDescent="0.25">
      <c r="C964" s="326"/>
    </row>
    <row r="965" spans="3:3" x14ac:dyDescent="0.25">
      <c r="C965" s="326"/>
    </row>
    <row r="966" spans="3:3" x14ac:dyDescent="0.25">
      <c r="C966" s="326"/>
    </row>
    <row r="967" spans="3:3" x14ac:dyDescent="0.25">
      <c r="C967" s="326"/>
    </row>
    <row r="968" spans="3:3" x14ac:dyDescent="0.25">
      <c r="C968" s="326"/>
    </row>
    <row r="969" spans="3:3" x14ac:dyDescent="0.25">
      <c r="C969" s="326"/>
    </row>
    <row r="970" spans="3:3" x14ac:dyDescent="0.25">
      <c r="C970" s="326"/>
    </row>
    <row r="971" spans="3:3" x14ac:dyDescent="0.25">
      <c r="C971" s="326"/>
    </row>
    <row r="972" spans="3:3" x14ac:dyDescent="0.25">
      <c r="C972" s="326"/>
    </row>
    <row r="973" spans="3:3" x14ac:dyDescent="0.25">
      <c r="C973" s="326"/>
    </row>
    <row r="974" spans="3:3" x14ac:dyDescent="0.25">
      <c r="C974" s="326"/>
    </row>
    <row r="975" spans="3:3" x14ac:dyDescent="0.25">
      <c r="C975" s="326"/>
    </row>
    <row r="976" spans="3:3" x14ac:dyDescent="0.25">
      <c r="C976" s="326"/>
    </row>
    <row r="977" spans="3:3" x14ac:dyDescent="0.25">
      <c r="C977" s="326"/>
    </row>
    <row r="978" spans="3:3" x14ac:dyDescent="0.25">
      <c r="C978" s="326"/>
    </row>
    <row r="979" spans="3:3" x14ac:dyDescent="0.25">
      <c r="C979" s="326"/>
    </row>
    <row r="980" spans="3:3" x14ac:dyDescent="0.25">
      <c r="C980" s="326"/>
    </row>
    <row r="981" spans="3:3" x14ac:dyDescent="0.25">
      <c r="C981" s="326"/>
    </row>
    <row r="982" spans="3:3" x14ac:dyDescent="0.25">
      <c r="C982" s="326"/>
    </row>
    <row r="983" spans="3:3" x14ac:dyDescent="0.25">
      <c r="C983" s="326"/>
    </row>
    <row r="984" spans="3:3" x14ac:dyDescent="0.25">
      <c r="C984" s="326"/>
    </row>
    <row r="985" spans="3:3" x14ac:dyDescent="0.25">
      <c r="C985" s="326"/>
    </row>
    <row r="986" spans="3:3" x14ac:dyDescent="0.25">
      <c r="C986" s="326"/>
    </row>
    <row r="987" spans="3:3" x14ac:dyDescent="0.25">
      <c r="C987" s="326"/>
    </row>
    <row r="988" spans="3:3" x14ac:dyDescent="0.25">
      <c r="C988" s="326"/>
    </row>
    <row r="989" spans="3:3" x14ac:dyDescent="0.25">
      <c r="C989" s="326"/>
    </row>
    <row r="990" spans="3:3" x14ac:dyDescent="0.25">
      <c r="C990" s="326"/>
    </row>
    <row r="991" spans="3:3" x14ac:dyDescent="0.25">
      <c r="C991" s="326"/>
    </row>
    <row r="992" spans="3:3" x14ac:dyDescent="0.25">
      <c r="C992" s="326"/>
    </row>
    <row r="993" spans="3:3" x14ac:dyDescent="0.25">
      <c r="C993" s="326"/>
    </row>
    <row r="994" spans="3:3" x14ac:dyDescent="0.25">
      <c r="C994" s="326"/>
    </row>
    <row r="995" spans="3:3" x14ac:dyDescent="0.25">
      <c r="C995" s="326"/>
    </row>
    <row r="996" spans="3:3" x14ac:dyDescent="0.25">
      <c r="C996" s="326"/>
    </row>
    <row r="997" spans="3:3" x14ac:dyDescent="0.25">
      <c r="C997" s="326"/>
    </row>
    <row r="998" spans="3:3" x14ac:dyDescent="0.25">
      <c r="C998" s="326"/>
    </row>
    <row r="999" spans="3:3" x14ac:dyDescent="0.25">
      <c r="C999" s="326"/>
    </row>
    <row r="1000" spans="3:3" x14ac:dyDescent="0.25">
      <c r="C1000" s="326"/>
    </row>
    <row r="1001" spans="3:3" x14ac:dyDescent="0.25">
      <c r="C1001" s="326"/>
    </row>
    <row r="1002" spans="3:3" x14ac:dyDescent="0.25">
      <c r="C1002" s="326"/>
    </row>
    <row r="1003" spans="3:3" x14ac:dyDescent="0.25">
      <c r="C1003" s="326"/>
    </row>
    <row r="1004" spans="3:3" x14ac:dyDescent="0.25">
      <c r="C1004" s="326"/>
    </row>
    <row r="1005" spans="3:3" x14ac:dyDescent="0.25">
      <c r="C1005" s="326"/>
    </row>
    <row r="1006" spans="3:3" x14ac:dyDescent="0.25">
      <c r="C1006" s="326"/>
    </row>
    <row r="1007" spans="3:3" x14ac:dyDescent="0.25">
      <c r="C1007" s="326"/>
    </row>
    <row r="1008" spans="3:3" x14ac:dyDescent="0.25">
      <c r="C1008" s="326"/>
    </row>
    <row r="1009" spans="3:3" x14ac:dyDescent="0.25">
      <c r="C1009" s="326"/>
    </row>
    <row r="1010" spans="3:3" x14ac:dyDescent="0.25">
      <c r="C1010" s="326"/>
    </row>
    <row r="1011" spans="3:3" x14ac:dyDescent="0.25">
      <c r="C1011" s="326"/>
    </row>
    <row r="1012" spans="3:3" x14ac:dyDescent="0.25">
      <c r="C1012" s="326"/>
    </row>
    <row r="1013" spans="3:3" x14ac:dyDescent="0.25">
      <c r="C1013" s="326"/>
    </row>
    <row r="1014" spans="3:3" x14ac:dyDescent="0.25">
      <c r="C1014" s="326"/>
    </row>
    <row r="1015" spans="3:3" x14ac:dyDescent="0.25">
      <c r="C1015" s="326"/>
    </row>
    <row r="1016" spans="3:3" x14ac:dyDescent="0.25">
      <c r="C1016" s="326"/>
    </row>
    <row r="1017" spans="3:3" x14ac:dyDescent="0.25">
      <c r="C1017" s="326"/>
    </row>
    <row r="1018" spans="3:3" x14ac:dyDescent="0.25">
      <c r="C1018" s="326"/>
    </row>
    <row r="1019" spans="3:3" x14ac:dyDescent="0.25">
      <c r="C1019" s="326"/>
    </row>
    <row r="1020" spans="3:3" x14ac:dyDescent="0.25">
      <c r="C1020" s="326"/>
    </row>
    <row r="1021" spans="3:3" x14ac:dyDescent="0.25">
      <c r="C1021" s="326"/>
    </row>
    <row r="1022" spans="3:3" x14ac:dyDescent="0.25">
      <c r="C1022" s="326"/>
    </row>
    <row r="1023" spans="3:3" x14ac:dyDescent="0.25">
      <c r="C1023" s="326"/>
    </row>
    <row r="1024" spans="3:3" x14ac:dyDescent="0.25">
      <c r="C1024" s="326"/>
    </row>
    <row r="1025" spans="3:3" x14ac:dyDescent="0.25">
      <c r="C1025" s="326"/>
    </row>
    <row r="1026" spans="3:3" x14ac:dyDescent="0.25">
      <c r="C1026" s="326"/>
    </row>
    <row r="1027" spans="3:3" x14ac:dyDescent="0.25">
      <c r="C1027" s="326"/>
    </row>
    <row r="1028" spans="3:3" x14ac:dyDescent="0.25">
      <c r="C1028" s="326"/>
    </row>
    <row r="1029" spans="3:3" x14ac:dyDescent="0.25">
      <c r="C1029" s="326"/>
    </row>
    <row r="1030" spans="3:3" x14ac:dyDescent="0.25">
      <c r="C1030" s="326"/>
    </row>
    <row r="1031" spans="3:3" x14ac:dyDescent="0.25">
      <c r="C1031" s="326"/>
    </row>
    <row r="1032" spans="3:3" x14ac:dyDescent="0.25">
      <c r="C1032" s="326"/>
    </row>
    <row r="1033" spans="3:3" x14ac:dyDescent="0.25">
      <c r="C1033" s="326"/>
    </row>
    <row r="1034" spans="3:3" x14ac:dyDescent="0.25">
      <c r="C1034" s="326"/>
    </row>
    <row r="1035" spans="3:3" x14ac:dyDescent="0.25">
      <c r="C1035" s="326"/>
    </row>
    <row r="1036" spans="3:3" x14ac:dyDescent="0.25">
      <c r="C1036" s="326"/>
    </row>
    <row r="1037" spans="3:3" x14ac:dyDescent="0.25">
      <c r="C1037" s="326"/>
    </row>
    <row r="1038" spans="3:3" x14ac:dyDescent="0.25">
      <c r="C1038" s="326"/>
    </row>
    <row r="1039" spans="3:3" x14ac:dyDescent="0.25">
      <c r="C1039" s="326"/>
    </row>
    <row r="1040" spans="3:3" x14ac:dyDescent="0.25">
      <c r="C1040" s="326"/>
    </row>
    <row r="1041" spans="3:3" x14ac:dyDescent="0.25">
      <c r="C1041" s="326"/>
    </row>
    <row r="1042" spans="3:3" x14ac:dyDescent="0.25">
      <c r="C1042" s="326"/>
    </row>
    <row r="1043" spans="3:3" x14ac:dyDescent="0.25">
      <c r="C1043" s="326"/>
    </row>
    <row r="1044" spans="3:3" x14ac:dyDescent="0.25">
      <c r="C1044" s="326"/>
    </row>
    <row r="1045" spans="3:3" x14ac:dyDescent="0.25">
      <c r="C1045" s="326"/>
    </row>
    <row r="1046" spans="3:3" x14ac:dyDescent="0.25">
      <c r="C1046" s="326"/>
    </row>
    <row r="1047" spans="3:3" x14ac:dyDescent="0.25">
      <c r="C1047" s="326"/>
    </row>
    <row r="1048" spans="3:3" x14ac:dyDescent="0.25">
      <c r="C1048" s="326"/>
    </row>
    <row r="1049" spans="3:3" x14ac:dyDescent="0.25">
      <c r="C1049" s="326"/>
    </row>
    <row r="1050" spans="3:3" x14ac:dyDescent="0.25">
      <c r="C1050" s="326"/>
    </row>
    <row r="1051" spans="3:3" x14ac:dyDescent="0.25">
      <c r="C1051" s="326"/>
    </row>
    <row r="1052" spans="3:3" x14ac:dyDescent="0.25">
      <c r="C1052" s="326"/>
    </row>
    <row r="1053" spans="3:3" x14ac:dyDescent="0.25">
      <c r="C1053" s="326"/>
    </row>
    <row r="1054" spans="3:3" x14ac:dyDescent="0.25">
      <c r="C1054" s="326"/>
    </row>
    <row r="1055" spans="3:3" x14ac:dyDescent="0.25">
      <c r="C1055" s="326"/>
    </row>
    <row r="1056" spans="3:3" x14ac:dyDescent="0.25">
      <c r="C1056" s="326"/>
    </row>
    <row r="1057" spans="3:3" x14ac:dyDescent="0.25">
      <c r="C1057" s="326"/>
    </row>
    <row r="1058" spans="3:3" x14ac:dyDescent="0.25">
      <c r="C1058" s="326"/>
    </row>
    <row r="1059" spans="3:3" x14ac:dyDescent="0.25">
      <c r="C1059" s="326"/>
    </row>
    <row r="1060" spans="3:3" x14ac:dyDescent="0.25">
      <c r="C1060" s="326"/>
    </row>
    <row r="1061" spans="3:3" x14ac:dyDescent="0.25">
      <c r="C1061" s="326"/>
    </row>
    <row r="1062" spans="3:3" x14ac:dyDescent="0.25">
      <c r="C1062" s="326"/>
    </row>
    <row r="1063" spans="3:3" x14ac:dyDescent="0.25">
      <c r="C1063" s="326"/>
    </row>
    <row r="1064" spans="3:3" x14ac:dyDescent="0.25">
      <c r="C1064" s="326"/>
    </row>
    <row r="1065" spans="3:3" x14ac:dyDescent="0.25">
      <c r="C1065" s="326"/>
    </row>
    <row r="1066" spans="3:3" x14ac:dyDescent="0.25">
      <c r="C1066" s="326"/>
    </row>
    <row r="1067" spans="3:3" x14ac:dyDescent="0.25">
      <c r="C1067" s="326"/>
    </row>
    <row r="1068" spans="3:3" x14ac:dyDescent="0.25">
      <c r="C1068" s="326"/>
    </row>
    <row r="1069" spans="3:3" x14ac:dyDescent="0.25">
      <c r="C1069" s="326"/>
    </row>
    <row r="1070" spans="3:3" x14ac:dyDescent="0.25">
      <c r="C1070" s="326"/>
    </row>
    <row r="1071" spans="3:3" x14ac:dyDescent="0.25">
      <c r="C1071" s="326"/>
    </row>
    <row r="1072" spans="3:3" x14ac:dyDescent="0.25">
      <c r="C1072" s="326"/>
    </row>
    <row r="1073" spans="3:3" x14ac:dyDescent="0.25">
      <c r="C1073" s="326"/>
    </row>
    <row r="1074" spans="3:3" x14ac:dyDescent="0.25">
      <c r="C1074" s="326"/>
    </row>
    <row r="1075" spans="3:3" x14ac:dyDescent="0.25">
      <c r="C1075" s="326"/>
    </row>
    <row r="1076" spans="3:3" x14ac:dyDescent="0.25">
      <c r="C1076" s="326"/>
    </row>
    <row r="1077" spans="3:3" x14ac:dyDescent="0.25">
      <c r="C1077" s="326"/>
    </row>
    <row r="1078" spans="3:3" x14ac:dyDescent="0.25">
      <c r="C1078" s="326"/>
    </row>
    <row r="1079" spans="3:3" x14ac:dyDescent="0.25">
      <c r="C1079" s="326"/>
    </row>
    <row r="1080" spans="3:3" x14ac:dyDescent="0.25">
      <c r="C1080" s="326"/>
    </row>
    <row r="1081" spans="3:3" x14ac:dyDescent="0.25">
      <c r="C1081" s="326"/>
    </row>
    <row r="1082" spans="3:3" x14ac:dyDescent="0.25">
      <c r="C1082" s="326"/>
    </row>
    <row r="1083" spans="3:3" x14ac:dyDescent="0.25">
      <c r="C1083" s="326"/>
    </row>
    <row r="1084" spans="3:3" x14ac:dyDescent="0.25">
      <c r="C1084" s="326"/>
    </row>
    <row r="1085" spans="3:3" x14ac:dyDescent="0.25">
      <c r="C1085" s="326"/>
    </row>
    <row r="1086" spans="3:3" x14ac:dyDescent="0.25">
      <c r="C1086" s="326"/>
    </row>
    <row r="1087" spans="3:3" x14ac:dyDescent="0.25">
      <c r="C1087" s="326"/>
    </row>
    <row r="1088" spans="3:3" x14ac:dyDescent="0.25">
      <c r="C1088" s="326"/>
    </row>
    <row r="1089" spans="3:3" x14ac:dyDescent="0.25">
      <c r="C1089" s="326"/>
    </row>
    <row r="1090" spans="3:3" x14ac:dyDescent="0.25">
      <c r="C1090" s="326"/>
    </row>
    <row r="1091" spans="3:3" x14ac:dyDescent="0.25">
      <c r="C1091" s="326"/>
    </row>
    <row r="1092" spans="3:3" x14ac:dyDescent="0.25">
      <c r="C1092" s="326"/>
    </row>
    <row r="1093" spans="3:3" x14ac:dyDescent="0.25">
      <c r="C1093" s="326"/>
    </row>
    <row r="1094" spans="3:3" x14ac:dyDescent="0.25">
      <c r="C1094" s="326"/>
    </row>
    <row r="1095" spans="3:3" x14ac:dyDescent="0.25">
      <c r="C1095" s="326"/>
    </row>
    <row r="1096" spans="3:3" x14ac:dyDescent="0.25">
      <c r="C1096" s="326"/>
    </row>
    <row r="1097" spans="3:3" x14ac:dyDescent="0.25">
      <c r="C1097" s="326"/>
    </row>
    <row r="1098" spans="3:3" x14ac:dyDescent="0.25">
      <c r="C1098" s="326"/>
    </row>
    <row r="1099" spans="3:3" x14ac:dyDescent="0.25">
      <c r="C1099" s="326"/>
    </row>
    <row r="1100" spans="3:3" x14ac:dyDescent="0.25">
      <c r="C1100" s="326"/>
    </row>
    <row r="1101" spans="3:3" x14ac:dyDescent="0.25">
      <c r="C1101" s="326"/>
    </row>
    <row r="1102" spans="3:3" x14ac:dyDescent="0.25">
      <c r="C1102" s="326"/>
    </row>
    <row r="1103" spans="3:3" x14ac:dyDescent="0.25">
      <c r="C1103" s="326"/>
    </row>
    <row r="1104" spans="3:3" x14ac:dyDescent="0.25">
      <c r="C1104" s="326"/>
    </row>
    <row r="1105" spans="3:3" x14ac:dyDescent="0.25">
      <c r="C1105" s="326"/>
    </row>
    <row r="1106" spans="3:3" x14ac:dyDescent="0.25">
      <c r="C1106" s="326"/>
    </row>
    <row r="1107" spans="3:3" x14ac:dyDescent="0.25">
      <c r="C1107" s="326"/>
    </row>
    <row r="1108" spans="3:3" x14ac:dyDescent="0.25">
      <c r="C1108" s="326"/>
    </row>
    <row r="1109" spans="3:3" x14ac:dyDescent="0.25">
      <c r="C1109" s="326"/>
    </row>
    <row r="1110" spans="3:3" x14ac:dyDescent="0.25">
      <c r="C1110" s="326"/>
    </row>
    <row r="1111" spans="3:3" x14ac:dyDescent="0.25">
      <c r="C1111" s="326"/>
    </row>
    <row r="1112" spans="3:3" x14ac:dyDescent="0.25">
      <c r="C1112" s="326"/>
    </row>
    <row r="1113" spans="3:3" x14ac:dyDescent="0.25">
      <c r="C1113" s="326"/>
    </row>
    <row r="1114" spans="3:3" x14ac:dyDescent="0.25">
      <c r="C1114" s="326"/>
    </row>
    <row r="1115" spans="3:3" x14ac:dyDescent="0.25">
      <c r="C1115" s="326"/>
    </row>
    <row r="1116" spans="3:3" x14ac:dyDescent="0.25">
      <c r="C1116" s="326"/>
    </row>
    <row r="1117" spans="3:3" x14ac:dyDescent="0.25">
      <c r="C1117" s="326"/>
    </row>
    <row r="1118" spans="3:3" x14ac:dyDescent="0.25">
      <c r="C1118" s="326"/>
    </row>
    <row r="1119" spans="3:3" x14ac:dyDescent="0.25">
      <c r="C1119" s="326"/>
    </row>
    <row r="1120" spans="3:3" x14ac:dyDescent="0.25">
      <c r="C1120" s="326"/>
    </row>
    <row r="1121" spans="3:3" x14ac:dyDescent="0.25">
      <c r="C1121" s="326"/>
    </row>
    <row r="1122" spans="3:3" x14ac:dyDescent="0.25">
      <c r="C1122" s="326"/>
    </row>
    <row r="1123" spans="3:3" x14ac:dyDescent="0.25">
      <c r="C1123" s="326"/>
    </row>
    <row r="1124" spans="3:3" x14ac:dyDescent="0.25">
      <c r="C1124" s="326"/>
    </row>
    <row r="1125" spans="3:3" x14ac:dyDescent="0.25">
      <c r="C1125" s="326"/>
    </row>
    <row r="1126" spans="3:3" x14ac:dyDescent="0.25">
      <c r="C1126" s="326"/>
    </row>
    <row r="1127" spans="3:3" x14ac:dyDescent="0.25">
      <c r="C1127" s="326"/>
    </row>
    <row r="1128" spans="3:3" x14ac:dyDescent="0.25">
      <c r="C1128" s="326"/>
    </row>
    <row r="1129" spans="3:3" x14ac:dyDescent="0.25">
      <c r="C1129" s="326"/>
    </row>
    <row r="1130" spans="3:3" x14ac:dyDescent="0.25">
      <c r="C1130" s="326"/>
    </row>
    <row r="1131" spans="3:3" x14ac:dyDescent="0.25">
      <c r="C1131" s="326"/>
    </row>
    <row r="1132" spans="3:3" x14ac:dyDescent="0.25">
      <c r="C1132" s="326"/>
    </row>
    <row r="1133" spans="3:3" x14ac:dyDescent="0.25">
      <c r="C1133" s="326"/>
    </row>
    <row r="1134" spans="3:3" x14ac:dyDescent="0.25">
      <c r="C1134" s="326"/>
    </row>
    <row r="1135" spans="3:3" x14ac:dyDescent="0.25">
      <c r="C1135" s="326"/>
    </row>
    <row r="1136" spans="3:3" x14ac:dyDescent="0.25">
      <c r="C1136" s="326"/>
    </row>
    <row r="1137" spans="3:3" x14ac:dyDescent="0.25">
      <c r="C1137" s="326"/>
    </row>
    <row r="1138" spans="3:3" x14ac:dyDescent="0.25">
      <c r="C1138" s="326"/>
    </row>
    <row r="1139" spans="3:3" x14ac:dyDescent="0.25">
      <c r="C1139" s="326"/>
    </row>
    <row r="1140" spans="3:3" x14ac:dyDescent="0.25">
      <c r="C1140" s="326"/>
    </row>
    <row r="1141" spans="3:3" x14ac:dyDescent="0.25">
      <c r="C1141" s="326"/>
    </row>
    <row r="1142" spans="3:3" x14ac:dyDescent="0.25">
      <c r="C1142" s="326"/>
    </row>
    <row r="1143" spans="3:3" x14ac:dyDescent="0.25">
      <c r="C1143" s="326"/>
    </row>
    <row r="1144" spans="3:3" x14ac:dyDescent="0.25">
      <c r="C1144" s="326"/>
    </row>
    <row r="1145" spans="3:3" x14ac:dyDescent="0.25">
      <c r="C1145" s="326"/>
    </row>
    <row r="1146" spans="3:3" x14ac:dyDescent="0.25">
      <c r="C1146" s="326"/>
    </row>
    <row r="1147" spans="3:3" x14ac:dyDescent="0.25">
      <c r="C1147" s="326"/>
    </row>
    <row r="1148" spans="3:3" x14ac:dyDescent="0.25">
      <c r="C1148" s="326"/>
    </row>
    <row r="1149" spans="3:3" x14ac:dyDescent="0.25">
      <c r="C1149" s="326"/>
    </row>
    <row r="1150" spans="3:3" x14ac:dyDescent="0.25">
      <c r="C1150" s="326"/>
    </row>
    <row r="1151" spans="3:3" x14ac:dyDescent="0.25">
      <c r="C1151" s="326"/>
    </row>
    <row r="1152" spans="3:3" x14ac:dyDescent="0.25">
      <c r="C1152" s="326"/>
    </row>
    <row r="1153" spans="3:3" x14ac:dyDescent="0.25">
      <c r="C1153" s="326"/>
    </row>
    <row r="1154" spans="3:3" x14ac:dyDescent="0.25">
      <c r="C1154" s="326"/>
    </row>
    <row r="1155" spans="3:3" x14ac:dyDescent="0.25">
      <c r="C1155" s="326"/>
    </row>
    <row r="1156" spans="3:3" x14ac:dyDescent="0.25">
      <c r="C1156" s="326"/>
    </row>
    <row r="1157" spans="3:3" x14ac:dyDescent="0.25">
      <c r="C1157" s="326"/>
    </row>
    <row r="1158" spans="3:3" x14ac:dyDescent="0.25">
      <c r="C1158" s="326"/>
    </row>
    <row r="1159" spans="3:3" x14ac:dyDescent="0.25">
      <c r="C1159" s="326"/>
    </row>
    <row r="1160" spans="3:3" x14ac:dyDescent="0.25">
      <c r="C1160" s="326"/>
    </row>
    <row r="1161" spans="3:3" x14ac:dyDescent="0.25">
      <c r="C1161" s="326"/>
    </row>
    <row r="1162" spans="3:3" x14ac:dyDescent="0.25">
      <c r="C1162" s="326"/>
    </row>
    <row r="1163" spans="3:3" x14ac:dyDescent="0.25">
      <c r="C1163" s="326"/>
    </row>
    <row r="1164" spans="3:3" x14ac:dyDescent="0.25">
      <c r="C1164" s="326"/>
    </row>
    <row r="1165" spans="3:3" x14ac:dyDescent="0.25">
      <c r="C1165" s="326"/>
    </row>
    <row r="1166" spans="3:3" x14ac:dyDescent="0.25">
      <c r="C1166" s="326"/>
    </row>
    <row r="1167" spans="3:3" x14ac:dyDescent="0.25">
      <c r="C1167" s="326"/>
    </row>
    <row r="1168" spans="3:3" x14ac:dyDescent="0.25">
      <c r="C1168" s="326"/>
    </row>
    <row r="1169" spans="3:3" x14ac:dyDescent="0.25">
      <c r="C1169" s="326"/>
    </row>
    <row r="1170" spans="3:3" x14ac:dyDescent="0.25">
      <c r="C1170" s="326"/>
    </row>
    <row r="1171" spans="3:3" x14ac:dyDescent="0.25">
      <c r="C1171" s="326"/>
    </row>
    <row r="1172" spans="3:3" x14ac:dyDescent="0.25">
      <c r="C1172" s="326"/>
    </row>
    <row r="1173" spans="3:3" x14ac:dyDescent="0.25">
      <c r="C1173" s="326"/>
    </row>
    <row r="1174" spans="3:3" x14ac:dyDescent="0.25">
      <c r="C1174" s="326"/>
    </row>
    <row r="1175" spans="3:3" x14ac:dyDescent="0.25">
      <c r="C1175" s="326"/>
    </row>
    <row r="1176" spans="3:3" x14ac:dyDescent="0.25">
      <c r="C1176" s="326"/>
    </row>
    <row r="1177" spans="3:3" x14ac:dyDescent="0.25">
      <c r="C1177" s="326"/>
    </row>
    <row r="1178" spans="3:3" x14ac:dyDescent="0.25">
      <c r="C1178" s="326"/>
    </row>
    <row r="1179" spans="3:3" x14ac:dyDescent="0.25">
      <c r="C1179" s="326"/>
    </row>
    <row r="1180" spans="3:3" x14ac:dyDescent="0.25">
      <c r="C1180" s="326"/>
    </row>
    <row r="1181" spans="3:3" x14ac:dyDescent="0.25">
      <c r="C1181" s="326"/>
    </row>
    <row r="1182" spans="3:3" x14ac:dyDescent="0.25">
      <c r="C1182" s="326"/>
    </row>
    <row r="1183" spans="3:3" x14ac:dyDescent="0.25">
      <c r="C1183" s="326"/>
    </row>
    <row r="1184" spans="3:3" x14ac:dyDescent="0.25">
      <c r="C1184" s="326"/>
    </row>
    <row r="1185" spans="3:3" x14ac:dyDescent="0.25">
      <c r="C1185" s="326"/>
    </row>
    <row r="1186" spans="3:3" x14ac:dyDescent="0.25">
      <c r="C1186" s="326"/>
    </row>
    <row r="1187" spans="3:3" x14ac:dyDescent="0.25">
      <c r="C1187" s="326"/>
    </row>
    <row r="1188" spans="3:3" x14ac:dyDescent="0.25">
      <c r="C1188" s="326"/>
    </row>
    <row r="1189" spans="3:3" x14ac:dyDescent="0.25">
      <c r="C1189" s="326"/>
    </row>
    <row r="1190" spans="3:3" x14ac:dyDescent="0.25">
      <c r="C1190" s="326"/>
    </row>
    <row r="1191" spans="3:3" x14ac:dyDescent="0.25">
      <c r="C1191" s="326"/>
    </row>
    <row r="1192" spans="3:3" x14ac:dyDescent="0.25">
      <c r="C1192" s="326"/>
    </row>
    <row r="1193" spans="3:3" x14ac:dyDescent="0.25">
      <c r="C1193" s="326"/>
    </row>
    <row r="1194" spans="3:3" x14ac:dyDescent="0.25">
      <c r="C1194" s="326"/>
    </row>
    <row r="1195" spans="3:3" x14ac:dyDescent="0.25">
      <c r="C1195" s="326"/>
    </row>
    <row r="1196" spans="3:3" x14ac:dyDescent="0.25">
      <c r="C1196" s="326"/>
    </row>
    <row r="1197" spans="3:3" x14ac:dyDescent="0.25">
      <c r="C1197" s="326"/>
    </row>
    <row r="1198" spans="3:3" x14ac:dyDescent="0.25">
      <c r="C1198" s="326"/>
    </row>
    <row r="1199" spans="3:3" x14ac:dyDescent="0.25">
      <c r="C1199" s="326"/>
    </row>
    <row r="1200" spans="3:3" x14ac:dyDescent="0.25">
      <c r="C1200" s="326"/>
    </row>
    <row r="1201" spans="3:3" x14ac:dyDescent="0.25">
      <c r="C1201" s="326"/>
    </row>
    <row r="1202" spans="3:3" x14ac:dyDescent="0.25">
      <c r="C1202" s="326"/>
    </row>
    <row r="1203" spans="3:3" x14ac:dyDescent="0.25">
      <c r="C1203" s="326"/>
    </row>
    <row r="1204" spans="3:3" x14ac:dyDescent="0.25">
      <c r="C1204" s="326"/>
    </row>
    <row r="1205" spans="3:3" x14ac:dyDescent="0.25">
      <c r="C1205" s="326"/>
    </row>
    <row r="1206" spans="3:3" x14ac:dyDescent="0.25">
      <c r="C1206" s="326"/>
    </row>
    <row r="1207" spans="3:3" x14ac:dyDescent="0.25">
      <c r="C1207" s="326"/>
    </row>
    <row r="1208" spans="3:3" x14ac:dyDescent="0.25">
      <c r="C1208" s="326"/>
    </row>
    <row r="1209" spans="3:3" x14ac:dyDescent="0.25">
      <c r="C1209" s="326"/>
    </row>
    <row r="1210" spans="3:3" x14ac:dyDescent="0.25">
      <c r="C1210" s="326"/>
    </row>
    <row r="1211" spans="3:3" x14ac:dyDescent="0.25">
      <c r="C1211" s="326"/>
    </row>
    <row r="1212" spans="3:3" x14ac:dyDescent="0.25">
      <c r="C1212" s="326"/>
    </row>
    <row r="1213" spans="3:3" x14ac:dyDescent="0.25">
      <c r="C1213" s="326"/>
    </row>
    <row r="1214" spans="3:3" x14ac:dyDescent="0.25">
      <c r="C1214" s="326"/>
    </row>
    <row r="1215" spans="3:3" x14ac:dyDescent="0.25">
      <c r="C1215" s="326"/>
    </row>
    <row r="1216" spans="3:3" x14ac:dyDescent="0.25">
      <c r="C1216" s="326"/>
    </row>
    <row r="1217" spans="3:3" x14ac:dyDescent="0.25">
      <c r="C1217" s="326"/>
    </row>
    <row r="1218" spans="3:3" x14ac:dyDescent="0.25">
      <c r="C1218" s="326"/>
    </row>
    <row r="1219" spans="3:3" x14ac:dyDescent="0.25">
      <c r="C1219" s="326"/>
    </row>
    <row r="1220" spans="3:3" x14ac:dyDescent="0.25">
      <c r="C1220" s="326"/>
    </row>
    <row r="1221" spans="3:3" x14ac:dyDescent="0.25">
      <c r="C1221" s="326"/>
    </row>
    <row r="1222" spans="3:3" x14ac:dyDescent="0.25">
      <c r="C1222" s="326"/>
    </row>
    <row r="1223" spans="3:3" x14ac:dyDescent="0.25">
      <c r="C1223" s="326"/>
    </row>
    <row r="1224" spans="3:3" x14ac:dyDescent="0.25">
      <c r="C1224" s="326"/>
    </row>
    <row r="1225" spans="3:3" x14ac:dyDescent="0.25">
      <c r="C1225" s="326"/>
    </row>
    <row r="1226" spans="3:3" x14ac:dyDescent="0.25">
      <c r="C1226" s="326"/>
    </row>
    <row r="1227" spans="3:3" x14ac:dyDescent="0.25">
      <c r="C1227" s="326"/>
    </row>
    <row r="1228" spans="3:3" x14ac:dyDescent="0.25">
      <c r="C1228" s="326"/>
    </row>
    <row r="1229" spans="3:3" x14ac:dyDescent="0.25">
      <c r="C1229" s="326"/>
    </row>
    <row r="1230" spans="3:3" x14ac:dyDescent="0.25">
      <c r="C1230" s="326"/>
    </row>
    <row r="1231" spans="3:3" x14ac:dyDescent="0.25">
      <c r="C1231" s="326"/>
    </row>
    <row r="1232" spans="3:3" x14ac:dyDescent="0.25">
      <c r="C1232" s="326"/>
    </row>
    <row r="1233" spans="3:3" x14ac:dyDescent="0.25">
      <c r="C1233" s="326"/>
    </row>
    <row r="1234" spans="3:3" x14ac:dyDescent="0.25">
      <c r="C1234" s="326"/>
    </row>
    <row r="1235" spans="3:3" x14ac:dyDescent="0.25">
      <c r="C1235" s="326"/>
    </row>
    <row r="1236" spans="3:3" x14ac:dyDescent="0.25">
      <c r="C1236" s="326"/>
    </row>
    <row r="1237" spans="3:3" x14ac:dyDescent="0.25">
      <c r="C1237" s="326"/>
    </row>
    <row r="1238" spans="3:3" x14ac:dyDescent="0.25">
      <c r="C1238" s="326"/>
    </row>
    <row r="1239" spans="3:3" x14ac:dyDescent="0.25">
      <c r="C1239" s="326"/>
    </row>
    <row r="1240" spans="3:3" x14ac:dyDescent="0.25">
      <c r="C1240" s="326"/>
    </row>
    <row r="1241" spans="3:3" x14ac:dyDescent="0.25">
      <c r="C1241" s="326"/>
    </row>
    <row r="1242" spans="3:3" x14ac:dyDescent="0.25">
      <c r="C1242" s="326"/>
    </row>
    <row r="1243" spans="3:3" x14ac:dyDescent="0.25">
      <c r="C1243" s="326"/>
    </row>
    <row r="1244" spans="3:3" x14ac:dyDescent="0.25">
      <c r="C1244" s="326"/>
    </row>
    <row r="1245" spans="3:3" x14ac:dyDescent="0.25">
      <c r="C1245" s="326"/>
    </row>
    <row r="1246" spans="3:3" x14ac:dyDescent="0.25">
      <c r="C1246" s="326"/>
    </row>
    <row r="1247" spans="3:3" x14ac:dyDescent="0.25">
      <c r="C1247" s="326"/>
    </row>
    <row r="1248" spans="3:3" x14ac:dyDescent="0.25">
      <c r="C1248" s="326"/>
    </row>
    <row r="1249" spans="3:3" x14ac:dyDescent="0.25">
      <c r="C1249" s="326"/>
    </row>
    <row r="1250" spans="3:3" x14ac:dyDescent="0.25">
      <c r="C1250" s="326"/>
    </row>
    <row r="1251" spans="3:3" x14ac:dyDescent="0.25">
      <c r="C1251" s="326"/>
    </row>
    <row r="1252" spans="3:3" x14ac:dyDescent="0.25">
      <c r="C1252" s="326"/>
    </row>
    <row r="1253" spans="3:3" x14ac:dyDescent="0.25">
      <c r="C1253" s="326"/>
    </row>
    <row r="1254" spans="3:3" x14ac:dyDescent="0.25">
      <c r="C1254" s="326"/>
    </row>
    <row r="1255" spans="3:3" x14ac:dyDescent="0.25">
      <c r="C1255" s="326"/>
    </row>
    <row r="1256" spans="3:3" x14ac:dyDescent="0.25">
      <c r="C1256" s="326"/>
    </row>
    <row r="1257" spans="3:3" x14ac:dyDescent="0.25">
      <c r="C1257" s="326"/>
    </row>
    <row r="1258" spans="3:3" x14ac:dyDescent="0.25">
      <c r="C1258" s="326"/>
    </row>
    <row r="1259" spans="3:3" x14ac:dyDescent="0.25">
      <c r="C1259" s="326"/>
    </row>
    <row r="1260" spans="3:3" x14ac:dyDescent="0.25">
      <c r="C1260" s="326"/>
    </row>
    <row r="1261" spans="3:3" x14ac:dyDescent="0.25">
      <c r="C1261" s="326"/>
    </row>
    <row r="1262" spans="3:3" x14ac:dyDescent="0.25">
      <c r="C1262" s="326"/>
    </row>
    <row r="1263" spans="3:3" x14ac:dyDescent="0.25">
      <c r="C1263" s="326"/>
    </row>
    <row r="1264" spans="3:3" x14ac:dyDescent="0.25">
      <c r="C1264" s="326"/>
    </row>
    <row r="1265" spans="3:3" x14ac:dyDescent="0.25">
      <c r="C1265" s="326"/>
    </row>
    <row r="1266" spans="3:3" x14ac:dyDescent="0.25">
      <c r="C1266" s="326"/>
    </row>
    <row r="1267" spans="3:3" x14ac:dyDescent="0.25">
      <c r="C1267" s="326"/>
    </row>
    <row r="1268" spans="3:3" x14ac:dyDescent="0.25">
      <c r="C1268" s="326"/>
    </row>
    <row r="1269" spans="3:3" x14ac:dyDescent="0.25">
      <c r="C1269" s="326"/>
    </row>
    <row r="1270" spans="3:3" x14ac:dyDescent="0.25">
      <c r="C1270" s="326"/>
    </row>
    <row r="1271" spans="3:3" x14ac:dyDescent="0.25">
      <c r="C1271" s="326"/>
    </row>
    <row r="1272" spans="3:3" x14ac:dyDescent="0.25">
      <c r="C1272" s="326"/>
    </row>
    <row r="1273" spans="3:3" x14ac:dyDescent="0.25">
      <c r="C1273" s="326"/>
    </row>
    <row r="1274" spans="3:3" x14ac:dyDescent="0.25">
      <c r="C1274" s="326"/>
    </row>
    <row r="1275" spans="3:3" x14ac:dyDescent="0.25">
      <c r="C1275" s="326"/>
    </row>
    <row r="1276" spans="3:3" x14ac:dyDescent="0.25">
      <c r="C1276" s="326"/>
    </row>
    <row r="1277" spans="3:3" x14ac:dyDescent="0.25">
      <c r="C1277" s="326"/>
    </row>
    <row r="1278" spans="3:3" x14ac:dyDescent="0.25">
      <c r="C1278" s="326"/>
    </row>
    <row r="1279" spans="3:3" x14ac:dyDescent="0.25">
      <c r="C1279" s="326"/>
    </row>
    <row r="1280" spans="3:3" x14ac:dyDescent="0.25">
      <c r="C1280" s="326"/>
    </row>
    <row r="1281" spans="3:3" x14ac:dyDescent="0.25">
      <c r="C1281" s="326"/>
    </row>
    <row r="1282" spans="3:3" x14ac:dyDescent="0.25">
      <c r="C1282" s="326"/>
    </row>
    <row r="1283" spans="3:3" x14ac:dyDescent="0.25">
      <c r="C1283" s="326"/>
    </row>
    <row r="1284" spans="3:3" x14ac:dyDescent="0.25">
      <c r="C1284" s="326"/>
    </row>
    <row r="1285" spans="3:3" x14ac:dyDescent="0.25">
      <c r="C1285" s="326"/>
    </row>
    <row r="1286" spans="3:3" x14ac:dyDescent="0.25">
      <c r="C1286" s="326"/>
    </row>
    <row r="1287" spans="3:3" x14ac:dyDescent="0.25">
      <c r="C1287" s="326"/>
    </row>
    <row r="1288" spans="3:3" x14ac:dyDescent="0.25">
      <c r="C1288" s="326"/>
    </row>
    <row r="1289" spans="3:3" x14ac:dyDescent="0.25">
      <c r="C1289" s="326"/>
    </row>
    <row r="1290" spans="3:3" x14ac:dyDescent="0.25">
      <c r="C1290" s="326"/>
    </row>
    <row r="1291" spans="3:3" x14ac:dyDescent="0.25">
      <c r="C1291" s="326"/>
    </row>
    <row r="1292" spans="3:3" x14ac:dyDescent="0.25">
      <c r="C1292" s="326"/>
    </row>
    <row r="1293" spans="3:3" x14ac:dyDescent="0.25">
      <c r="C1293" s="326"/>
    </row>
    <row r="1294" spans="3:3" x14ac:dyDescent="0.25">
      <c r="C1294" s="326"/>
    </row>
    <row r="1295" spans="3:3" x14ac:dyDescent="0.25">
      <c r="C1295" s="326"/>
    </row>
    <row r="1296" spans="3:3" x14ac:dyDescent="0.25">
      <c r="C1296" s="326"/>
    </row>
    <row r="1297" spans="3:3" x14ac:dyDescent="0.25">
      <c r="C1297" s="326"/>
    </row>
    <row r="1298" spans="3:3" x14ac:dyDescent="0.25">
      <c r="C1298" s="326"/>
    </row>
    <row r="1299" spans="3:3" x14ac:dyDescent="0.25">
      <c r="C1299" s="326"/>
    </row>
    <row r="1300" spans="3:3" x14ac:dyDescent="0.25">
      <c r="C1300" s="326"/>
    </row>
    <row r="1301" spans="3:3" x14ac:dyDescent="0.25">
      <c r="C1301" s="326"/>
    </row>
    <row r="1302" spans="3:3" x14ac:dyDescent="0.25">
      <c r="C1302" s="326"/>
    </row>
    <row r="1303" spans="3:3" x14ac:dyDescent="0.25">
      <c r="C1303" s="326"/>
    </row>
    <row r="1304" spans="3:3" x14ac:dyDescent="0.25">
      <c r="C1304" s="326"/>
    </row>
    <row r="1305" spans="3:3" x14ac:dyDescent="0.25">
      <c r="C1305" s="326"/>
    </row>
    <row r="1306" spans="3:3" x14ac:dyDescent="0.25">
      <c r="C1306" s="326"/>
    </row>
    <row r="1307" spans="3:3" x14ac:dyDescent="0.25">
      <c r="C1307" s="326"/>
    </row>
    <row r="1308" spans="3:3" x14ac:dyDescent="0.25">
      <c r="C1308" s="326"/>
    </row>
    <row r="1309" spans="3:3" x14ac:dyDescent="0.25">
      <c r="C1309" s="326"/>
    </row>
    <row r="1310" spans="3:3" x14ac:dyDescent="0.25">
      <c r="C1310" s="326"/>
    </row>
    <row r="1311" spans="3:3" x14ac:dyDescent="0.25">
      <c r="C1311" s="326"/>
    </row>
    <row r="1312" spans="3:3" x14ac:dyDescent="0.25">
      <c r="C1312" s="326"/>
    </row>
    <row r="1313" spans="3:3" x14ac:dyDescent="0.25">
      <c r="C1313" s="326"/>
    </row>
    <row r="1314" spans="3:3" x14ac:dyDescent="0.25">
      <c r="C1314" s="326"/>
    </row>
    <row r="1315" spans="3:3" x14ac:dyDescent="0.25">
      <c r="C1315" s="326"/>
    </row>
    <row r="1316" spans="3:3" x14ac:dyDescent="0.25">
      <c r="C1316" s="326"/>
    </row>
    <row r="1317" spans="3:3" x14ac:dyDescent="0.25">
      <c r="C1317" s="326"/>
    </row>
    <row r="1318" spans="3:3" x14ac:dyDescent="0.25">
      <c r="C1318" s="326"/>
    </row>
    <row r="1319" spans="3:3" x14ac:dyDescent="0.25">
      <c r="C1319" s="326"/>
    </row>
    <row r="1320" spans="3:3" x14ac:dyDescent="0.25">
      <c r="C1320" s="326"/>
    </row>
    <row r="1321" spans="3:3" x14ac:dyDescent="0.25">
      <c r="C1321" s="326"/>
    </row>
    <row r="1322" spans="3:3" x14ac:dyDescent="0.25">
      <c r="C1322" s="326"/>
    </row>
    <row r="1323" spans="3:3" x14ac:dyDescent="0.25">
      <c r="C1323" s="326"/>
    </row>
    <row r="1324" spans="3:3" x14ac:dyDescent="0.25">
      <c r="C1324" s="326"/>
    </row>
    <row r="1325" spans="3:3" x14ac:dyDescent="0.25">
      <c r="C1325" s="326"/>
    </row>
    <row r="1326" spans="3:3" x14ac:dyDescent="0.25">
      <c r="C1326" s="326"/>
    </row>
    <row r="1327" spans="3:3" x14ac:dyDescent="0.25">
      <c r="C1327" s="326"/>
    </row>
    <row r="1328" spans="3:3" x14ac:dyDescent="0.25">
      <c r="C1328" s="326"/>
    </row>
    <row r="1329" spans="3:3" x14ac:dyDescent="0.25">
      <c r="C1329" s="326"/>
    </row>
    <row r="1330" spans="3:3" x14ac:dyDescent="0.25">
      <c r="C1330" s="326"/>
    </row>
    <row r="1331" spans="3:3" x14ac:dyDescent="0.25">
      <c r="C1331" s="326"/>
    </row>
    <row r="1332" spans="3:3" x14ac:dyDescent="0.25">
      <c r="C1332" s="326"/>
    </row>
    <row r="1333" spans="3:3" x14ac:dyDescent="0.25">
      <c r="C1333" s="326"/>
    </row>
    <row r="1334" spans="3:3" x14ac:dyDescent="0.25">
      <c r="C1334" s="326"/>
    </row>
    <row r="1335" spans="3:3" x14ac:dyDescent="0.25">
      <c r="C1335" s="326"/>
    </row>
    <row r="1336" spans="3:3" x14ac:dyDescent="0.25">
      <c r="C1336" s="326"/>
    </row>
    <row r="1337" spans="3:3" x14ac:dyDescent="0.25">
      <c r="C1337" s="326"/>
    </row>
    <row r="1338" spans="3:3" x14ac:dyDescent="0.25">
      <c r="C1338" s="326"/>
    </row>
    <row r="1339" spans="3:3" x14ac:dyDescent="0.25">
      <c r="C1339" s="326"/>
    </row>
    <row r="1340" spans="3:3" x14ac:dyDescent="0.25">
      <c r="C1340" s="326"/>
    </row>
    <row r="1341" spans="3:3" x14ac:dyDescent="0.25">
      <c r="C1341" s="326"/>
    </row>
    <row r="1342" spans="3:3" x14ac:dyDescent="0.25">
      <c r="C1342" s="326"/>
    </row>
    <row r="1343" spans="3:3" x14ac:dyDescent="0.25">
      <c r="C1343" s="326"/>
    </row>
    <row r="1344" spans="3:3" x14ac:dyDescent="0.25">
      <c r="C1344" s="326"/>
    </row>
    <row r="1345" spans="3:3" x14ac:dyDescent="0.25">
      <c r="C1345" s="326"/>
    </row>
    <row r="1346" spans="3:3" x14ac:dyDescent="0.25">
      <c r="C1346" s="326"/>
    </row>
    <row r="1347" spans="3:3" x14ac:dyDescent="0.25">
      <c r="C1347" s="326"/>
    </row>
    <row r="1348" spans="3:3" x14ac:dyDescent="0.25">
      <c r="C1348" s="326"/>
    </row>
    <row r="1349" spans="3:3" x14ac:dyDescent="0.25">
      <c r="C1349" s="326"/>
    </row>
    <row r="1350" spans="3:3" x14ac:dyDescent="0.25">
      <c r="C1350" s="326"/>
    </row>
    <row r="1351" spans="3:3" x14ac:dyDescent="0.25">
      <c r="C1351" s="326"/>
    </row>
    <row r="1352" spans="3:3" x14ac:dyDescent="0.25">
      <c r="C1352" s="326"/>
    </row>
    <row r="1353" spans="3:3" x14ac:dyDescent="0.25">
      <c r="C1353" s="326"/>
    </row>
    <row r="1354" spans="3:3" x14ac:dyDescent="0.25">
      <c r="C1354" s="326"/>
    </row>
    <row r="1355" spans="3:3" x14ac:dyDescent="0.25">
      <c r="C1355" s="326"/>
    </row>
    <row r="1356" spans="3:3" x14ac:dyDescent="0.25">
      <c r="C1356" s="326"/>
    </row>
    <row r="1357" spans="3:3" x14ac:dyDescent="0.25">
      <c r="C1357" s="326"/>
    </row>
    <row r="1358" spans="3:3" x14ac:dyDescent="0.25">
      <c r="C1358" s="326"/>
    </row>
    <row r="1359" spans="3:3" x14ac:dyDescent="0.25">
      <c r="C1359" s="326"/>
    </row>
    <row r="1360" spans="3:3" x14ac:dyDescent="0.25">
      <c r="C1360" s="326"/>
    </row>
    <row r="1361" spans="3:3" x14ac:dyDescent="0.25">
      <c r="C1361" s="326"/>
    </row>
    <row r="1362" spans="3:3" x14ac:dyDescent="0.25">
      <c r="C1362" s="326"/>
    </row>
    <row r="1363" spans="3:3" x14ac:dyDescent="0.25">
      <c r="C1363" s="326"/>
    </row>
    <row r="1364" spans="3:3" x14ac:dyDescent="0.25">
      <c r="C1364" s="326"/>
    </row>
    <row r="1365" spans="3:3" x14ac:dyDescent="0.25">
      <c r="C1365" s="326"/>
    </row>
    <row r="1366" spans="3:3" x14ac:dyDescent="0.25">
      <c r="C1366" s="326"/>
    </row>
    <row r="1367" spans="3:3" x14ac:dyDescent="0.25">
      <c r="C1367" s="326"/>
    </row>
    <row r="1368" spans="3:3" x14ac:dyDescent="0.25">
      <c r="C1368" s="326"/>
    </row>
    <row r="1369" spans="3:3" x14ac:dyDescent="0.25">
      <c r="C1369" s="326"/>
    </row>
    <row r="1370" spans="3:3" x14ac:dyDescent="0.25">
      <c r="C1370" s="326"/>
    </row>
    <row r="1371" spans="3:3" x14ac:dyDescent="0.25">
      <c r="C1371" s="326"/>
    </row>
    <row r="1372" spans="3:3" x14ac:dyDescent="0.25">
      <c r="C1372" s="326"/>
    </row>
    <row r="1373" spans="3:3" x14ac:dyDescent="0.25">
      <c r="C1373" s="326"/>
    </row>
    <row r="1374" spans="3:3" x14ac:dyDescent="0.25">
      <c r="C1374" s="326"/>
    </row>
    <row r="1375" spans="3:3" x14ac:dyDescent="0.25">
      <c r="C1375" s="326"/>
    </row>
    <row r="1376" spans="3:3" x14ac:dyDescent="0.25">
      <c r="C1376" s="326"/>
    </row>
    <row r="1377" spans="3:3" x14ac:dyDescent="0.25">
      <c r="C1377" s="326"/>
    </row>
    <row r="1378" spans="3:3" x14ac:dyDescent="0.25">
      <c r="C1378" s="326"/>
    </row>
    <row r="1379" spans="3:3" x14ac:dyDescent="0.25">
      <c r="C1379" s="326"/>
    </row>
    <row r="1380" spans="3:3" x14ac:dyDescent="0.25">
      <c r="C1380" s="326"/>
    </row>
    <row r="1381" spans="3:3" x14ac:dyDescent="0.25">
      <c r="C1381" s="326"/>
    </row>
    <row r="1382" spans="3:3" x14ac:dyDescent="0.25">
      <c r="C1382" s="326"/>
    </row>
    <row r="1383" spans="3:3" x14ac:dyDescent="0.25">
      <c r="C1383" s="326"/>
    </row>
    <row r="1384" spans="3:3" x14ac:dyDescent="0.25">
      <c r="C1384" s="326"/>
    </row>
    <row r="1385" spans="3:3" x14ac:dyDescent="0.25">
      <c r="C1385" s="326"/>
    </row>
    <row r="1386" spans="3:3" x14ac:dyDescent="0.25">
      <c r="C1386" s="326"/>
    </row>
    <row r="1387" spans="3:3" x14ac:dyDescent="0.25">
      <c r="C1387" s="326"/>
    </row>
    <row r="1388" spans="3:3" x14ac:dyDescent="0.25">
      <c r="C1388" s="326"/>
    </row>
    <row r="1389" spans="3:3" x14ac:dyDescent="0.25">
      <c r="C1389" s="326"/>
    </row>
    <row r="1390" spans="3:3" x14ac:dyDescent="0.25">
      <c r="C1390" s="326"/>
    </row>
    <row r="1391" spans="3:3" x14ac:dyDescent="0.25">
      <c r="C1391" s="326"/>
    </row>
    <row r="1392" spans="3:3" x14ac:dyDescent="0.25">
      <c r="C1392" s="326"/>
    </row>
    <row r="1393" spans="3:3" x14ac:dyDescent="0.25">
      <c r="C1393" s="326"/>
    </row>
    <row r="1394" spans="3:3" x14ac:dyDescent="0.25">
      <c r="C1394" s="326"/>
    </row>
    <row r="1395" spans="3:3" x14ac:dyDescent="0.25">
      <c r="C1395" s="326"/>
    </row>
    <row r="1396" spans="3:3" x14ac:dyDescent="0.25">
      <c r="C1396" s="326"/>
    </row>
    <row r="1397" spans="3:3" x14ac:dyDescent="0.25">
      <c r="C1397" s="326"/>
    </row>
    <row r="1398" spans="3:3" x14ac:dyDescent="0.25">
      <c r="C1398" s="326"/>
    </row>
    <row r="1399" spans="3:3" x14ac:dyDescent="0.25">
      <c r="C1399" s="326"/>
    </row>
    <row r="1400" spans="3:3" x14ac:dyDescent="0.25">
      <c r="C1400" s="326"/>
    </row>
    <row r="1401" spans="3:3" x14ac:dyDescent="0.25">
      <c r="C1401" s="326"/>
    </row>
    <row r="1402" spans="3:3" x14ac:dyDescent="0.25">
      <c r="C1402" s="326"/>
    </row>
    <row r="1403" spans="3:3" x14ac:dyDescent="0.25">
      <c r="C1403" s="326"/>
    </row>
    <row r="1404" spans="3:3" x14ac:dyDescent="0.25">
      <c r="C1404" s="326"/>
    </row>
    <row r="1405" spans="3:3" x14ac:dyDescent="0.25">
      <c r="C1405" s="326"/>
    </row>
    <row r="1406" spans="3:3" x14ac:dyDescent="0.25">
      <c r="C1406" s="326"/>
    </row>
    <row r="1407" spans="3:3" x14ac:dyDescent="0.25">
      <c r="C1407" s="326"/>
    </row>
    <row r="1408" spans="3:3" x14ac:dyDescent="0.25">
      <c r="C1408" s="326"/>
    </row>
    <row r="1409" spans="3:3" x14ac:dyDescent="0.25">
      <c r="C1409" s="326"/>
    </row>
    <row r="1410" spans="3:3" x14ac:dyDescent="0.25">
      <c r="C1410" s="326"/>
    </row>
    <row r="1411" spans="3:3" x14ac:dyDescent="0.25">
      <c r="C1411" s="326"/>
    </row>
    <row r="1412" spans="3:3" x14ac:dyDescent="0.25">
      <c r="C1412" s="326"/>
    </row>
    <row r="1413" spans="3:3" x14ac:dyDescent="0.25">
      <c r="C1413" s="326"/>
    </row>
    <row r="1414" spans="3:3" x14ac:dyDescent="0.25">
      <c r="C1414" s="326"/>
    </row>
    <row r="1415" spans="3:3" x14ac:dyDescent="0.25">
      <c r="C1415" s="326"/>
    </row>
    <row r="1416" spans="3:3" x14ac:dyDescent="0.25">
      <c r="C1416" s="326"/>
    </row>
    <row r="1417" spans="3:3" x14ac:dyDescent="0.25">
      <c r="C1417" s="326"/>
    </row>
    <row r="1418" spans="3:3" x14ac:dyDescent="0.25">
      <c r="C1418" s="326"/>
    </row>
    <row r="1419" spans="3:3" x14ac:dyDescent="0.25">
      <c r="C1419" s="326"/>
    </row>
    <row r="1420" spans="3:3" x14ac:dyDescent="0.25">
      <c r="C1420" s="326"/>
    </row>
    <row r="1421" spans="3:3" x14ac:dyDescent="0.25">
      <c r="C1421" s="326"/>
    </row>
    <row r="1422" spans="3:3" x14ac:dyDescent="0.25">
      <c r="C1422" s="326"/>
    </row>
    <row r="1423" spans="3:3" x14ac:dyDescent="0.25">
      <c r="C1423" s="326"/>
    </row>
    <row r="1424" spans="3:3" x14ac:dyDescent="0.25">
      <c r="C1424" s="326"/>
    </row>
    <row r="1425" spans="3:3" x14ac:dyDescent="0.25">
      <c r="C1425" s="326"/>
    </row>
    <row r="1426" spans="3:3" x14ac:dyDescent="0.25">
      <c r="C1426" s="326"/>
    </row>
    <row r="1427" spans="3:3" x14ac:dyDescent="0.25">
      <c r="C1427" s="326"/>
    </row>
    <row r="1428" spans="3:3" x14ac:dyDescent="0.25">
      <c r="C1428" s="326"/>
    </row>
    <row r="1429" spans="3:3" x14ac:dyDescent="0.25">
      <c r="C1429" s="326"/>
    </row>
    <row r="1430" spans="3:3" x14ac:dyDescent="0.25">
      <c r="C1430" s="326"/>
    </row>
    <row r="1431" spans="3:3" x14ac:dyDescent="0.25">
      <c r="C1431" s="326"/>
    </row>
    <row r="1432" spans="3:3" x14ac:dyDescent="0.25">
      <c r="C1432" s="326"/>
    </row>
    <row r="1433" spans="3:3" x14ac:dyDescent="0.25">
      <c r="C1433" s="326"/>
    </row>
    <row r="1434" spans="3:3" x14ac:dyDescent="0.25">
      <c r="C1434" s="326"/>
    </row>
    <row r="1435" spans="3:3" x14ac:dyDescent="0.25">
      <c r="C1435" s="326"/>
    </row>
    <row r="1436" spans="3:3" x14ac:dyDescent="0.25">
      <c r="C1436" s="326"/>
    </row>
    <row r="1437" spans="3:3" x14ac:dyDescent="0.25">
      <c r="C1437" s="326"/>
    </row>
    <row r="1438" spans="3:3" x14ac:dyDescent="0.25">
      <c r="C1438" s="326"/>
    </row>
    <row r="1439" spans="3:3" x14ac:dyDescent="0.25">
      <c r="C1439" s="326"/>
    </row>
    <row r="1440" spans="3:3" x14ac:dyDescent="0.25">
      <c r="C1440" s="326"/>
    </row>
    <row r="1441" spans="3:3" x14ac:dyDescent="0.25">
      <c r="C1441" s="326"/>
    </row>
    <row r="1442" spans="3:3" x14ac:dyDescent="0.25">
      <c r="C1442" s="326"/>
    </row>
    <row r="1443" spans="3:3" x14ac:dyDescent="0.25">
      <c r="C1443" s="326"/>
    </row>
    <row r="1444" spans="3:3" x14ac:dyDescent="0.25">
      <c r="C1444" s="326"/>
    </row>
    <row r="1445" spans="3:3" x14ac:dyDescent="0.25">
      <c r="C1445" s="326"/>
    </row>
    <row r="1446" spans="3:3" x14ac:dyDescent="0.25">
      <c r="C1446" s="326"/>
    </row>
    <row r="1447" spans="3:3" x14ac:dyDescent="0.25">
      <c r="C1447" s="326"/>
    </row>
    <row r="1448" spans="3:3" x14ac:dyDescent="0.25">
      <c r="C1448" s="326"/>
    </row>
    <row r="1449" spans="3:3" x14ac:dyDescent="0.25">
      <c r="C1449" s="326"/>
    </row>
    <row r="1450" spans="3:3" x14ac:dyDescent="0.25">
      <c r="C1450" s="326"/>
    </row>
    <row r="1451" spans="3:3" x14ac:dyDescent="0.25">
      <c r="C1451" s="326"/>
    </row>
    <row r="1452" spans="3:3" x14ac:dyDescent="0.25">
      <c r="C1452" s="326"/>
    </row>
    <row r="1453" spans="3:3" x14ac:dyDescent="0.25">
      <c r="C1453" s="326"/>
    </row>
    <row r="1454" spans="3:3" x14ac:dyDescent="0.25">
      <c r="C1454" s="326"/>
    </row>
    <row r="1455" spans="3:3" x14ac:dyDescent="0.25">
      <c r="C1455" s="326"/>
    </row>
    <row r="1456" spans="3:3" x14ac:dyDescent="0.25">
      <c r="C1456" s="326"/>
    </row>
  </sheetData>
  <mergeCells count="24">
    <mergeCell ref="A520:F520"/>
    <mergeCell ref="A236:F236"/>
    <mergeCell ref="A237:F237"/>
    <mergeCell ref="A405:F405"/>
    <mergeCell ref="A406:F406"/>
    <mergeCell ref="A450:F450"/>
    <mergeCell ref="A451:F451"/>
    <mergeCell ref="A279:F279"/>
    <mergeCell ref="A280:F280"/>
    <mergeCell ref="A314:F314"/>
    <mergeCell ref="A315:F315"/>
    <mergeCell ref="A489:F489"/>
    <mergeCell ref="A490:F490"/>
    <mergeCell ref="A90:F90"/>
    <mergeCell ref="A91:F91"/>
    <mergeCell ref="C1:G1"/>
    <mergeCell ref="A195:F195"/>
    <mergeCell ref="A366:F366"/>
    <mergeCell ref="A39:F39"/>
    <mergeCell ref="A40:F40"/>
    <mergeCell ref="A135:F135"/>
    <mergeCell ref="A136:F136"/>
    <mergeCell ref="A168:F168"/>
    <mergeCell ref="A169:F169"/>
  </mergeCells>
  <pageMargins left="0.51181102362204722" right="0.39370078740157483" top="0.94488188976377963" bottom="0.74803149606299213" header="0.23622047244094491" footer="0.31496062992125984"/>
  <pageSetup paperSize="9" firstPageNumber="36" orientation="portrait" useFirstPageNumber="1" r:id="rId1"/>
  <headerFooter>
    <oddHeader>&amp;L&amp;"Arial,Bold"&amp;9Flood Damage Restoration and Functional Upgrades / Rehabilitation
to the Kwandengezi Wastewater Treatment Works and Upstream
Catchment Network - Ward 12&amp;"Arial,Regular"
Contract No: WS 7672&amp;R&amp;"Arial,Regular"&amp;9Schedule F</oddHeader>
    <oddFooter>&amp;L&amp;"Arial,Regular"&amp;9Bill of Quantities&amp;R&amp;"Arial,Regular"&amp;9BOQ.&amp;P</oddFooter>
  </headerFooter>
  <rowBreaks count="7" manualBreakCount="7">
    <brk id="135" max="6" man="1"/>
    <brk id="168" max="6" man="1"/>
    <brk id="195" max="6" man="1"/>
    <brk id="236" max="6" man="1"/>
    <brk id="279" max="6" man="1"/>
    <brk id="450" max="6" man="1"/>
    <brk id="48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20</vt:i4>
      </vt:variant>
    </vt:vector>
  </HeadingPairs>
  <TitlesOfParts>
    <vt:vector size="39" baseType="lpstr">
      <vt:lpstr>A</vt:lpstr>
      <vt:lpstr>A-Sum</vt:lpstr>
      <vt:lpstr>B</vt:lpstr>
      <vt:lpstr>B-Sum</vt:lpstr>
      <vt:lpstr>C</vt:lpstr>
      <vt:lpstr>D</vt:lpstr>
      <vt:lpstr>E</vt:lpstr>
      <vt:lpstr>E-Sum</vt:lpstr>
      <vt:lpstr>F</vt:lpstr>
      <vt:lpstr>F-Sum</vt:lpstr>
      <vt:lpstr>G</vt:lpstr>
      <vt:lpstr>G-Sum</vt:lpstr>
      <vt:lpstr>H</vt:lpstr>
      <vt:lpstr>H-Sum</vt:lpstr>
      <vt:lpstr>I</vt:lpstr>
      <vt:lpstr>I-Sum</vt:lpstr>
      <vt:lpstr>J</vt:lpstr>
      <vt:lpstr>K</vt:lpstr>
      <vt:lpstr>SUMMARY</vt:lpstr>
      <vt:lpstr>B!Print_Area</vt:lpstr>
      <vt:lpstr>'C'!Print_Area</vt:lpstr>
      <vt:lpstr>E!Print_Area</vt:lpstr>
      <vt:lpstr>F!Print_Area</vt:lpstr>
      <vt:lpstr>H!Print_Area</vt:lpstr>
      <vt:lpstr>I!Print_Area</vt:lpstr>
      <vt:lpstr>J!Print_Area</vt:lpstr>
      <vt:lpstr>K!Print_Area</vt:lpstr>
      <vt:lpstr>A!Print_Titles</vt:lpstr>
      <vt:lpstr>B!Print_Titles</vt:lpstr>
      <vt:lpstr>'C'!Print_Titles</vt:lpstr>
      <vt:lpstr>D!Print_Titles</vt:lpstr>
      <vt:lpstr>E!Print_Titles</vt:lpstr>
      <vt:lpstr>F!Print_Titles</vt:lpstr>
      <vt:lpstr>G!Print_Titles</vt:lpstr>
      <vt:lpstr>H!Print_Titles</vt:lpstr>
      <vt:lpstr>I!Print_Titles</vt:lpstr>
      <vt:lpstr>J!Print_Titles</vt:lpstr>
      <vt:lpstr>K!Print_Titles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Richard</cp:lastModifiedBy>
  <cp:lastPrinted>2023-05-24T08:33:29Z</cp:lastPrinted>
  <dcterms:created xsi:type="dcterms:W3CDTF">2016-03-24T10:03:41Z</dcterms:created>
  <dcterms:modified xsi:type="dcterms:W3CDTF">2023-05-24T10:39:49Z</dcterms:modified>
</cp:coreProperties>
</file>