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humalQN\Documents\PDE_HV Plant\Support to OUs\GOU\MV indoor switchgear\Fixed pattern_ October 2021\"/>
    </mc:Choice>
  </mc:AlternateContent>
  <bookViews>
    <workbookView xWindow="9480" yWindow="36" windowWidth="2520" windowHeight="5592" activeTab="2"/>
  </bookViews>
  <sheets>
    <sheet name="Technical Schedule" sheetId="1" r:id="rId1"/>
    <sheet name="Deviation Schedule" sheetId="4" r:id="rId2"/>
    <sheet name="Tools, Spares,Drwg &amp; Type Tests" sheetId="6" r:id="rId3"/>
  </sheets>
  <definedNames>
    <definedName name="_Toc226523274" localSheetId="0">'Technical Schedule'!$E$27</definedName>
    <definedName name="_Toc267662664" localSheetId="0">'Technical Schedule'!$E$31</definedName>
    <definedName name="_Toc267662668" localSheetId="0">'Technical Schedule'!$E$40</definedName>
    <definedName name="_Toc269213741" localSheetId="0">'Technical Schedule'!$E$25</definedName>
    <definedName name="_Toc269908433" localSheetId="0">'Technical Schedule'!$E$20</definedName>
    <definedName name="_Toc269908438" localSheetId="0">'Technical Schedule'!$E$28</definedName>
    <definedName name="_Toc269908442" localSheetId="0">'Technical Schedule'!$E$37</definedName>
    <definedName name="_Toc269908444" localSheetId="0">'Technical Schedule'!$E$39</definedName>
    <definedName name="_Toc269908446" localSheetId="0">'Technical Schedule'!$E$42</definedName>
    <definedName name="_Toc269908447" localSheetId="0">'Technical Schedule'!$E$43</definedName>
    <definedName name="_Toc269908448" localSheetId="0">'Technical Schedule'!$E$45</definedName>
    <definedName name="_Toc269908452" localSheetId="0">'Technical Schedule'!$E$63</definedName>
    <definedName name="END">'Technical Schedule'!$B$487</definedName>
    <definedName name="Item">'Technical Schedule'!$B$9</definedName>
    <definedName name="_xlnm.Print_Area" localSheetId="0">'Technical Schedule'!$B$1:$H$497</definedName>
    <definedName name="_xlnm.Print_Area" localSheetId="2">'Tools, Spares,Drwg &amp; Type Tests'!$B:$J</definedName>
    <definedName name="_xlnm.Print_Titles" localSheetId="0">'Technical Schedule'!$1:$9</definedName>
    <definedName name="Schedule_A">'Technical Schedule'!$G$9</definedName>
    <definedName name="Spec_Rev_No">'Technical Schedule'!$G$4</definedName>
  </definedNames>
  <calcPr calcId="162913"/>
</workbook>
</file>

<file path=xl/calcChain.xml><?xml version="1.0" encoding="utf-8"?>
<calcChain xmlns="http://schemas.openxmlformats.org/spreadsheetml/2006/main">
  <c r="G230" i="1" l="1"/>
  <c r="G228" i="1"/>
  <c r="G128" i="1" s="1"/>
  <c r="C2" i="4"/>
  <c r="G189" i="1"/>
  <c r="G311" i="1"/>
  <c r="G12" i="1"/>
  <c r="B3" i="1" s="1"/>
  <c r="B3" i="6" s="1"/>
  <c r="G13" i="1"/>
  <c r="G14" i="1"/>
  <c r="G296" i="1" s="1"/>
  <c r="G15" i="1"/>
  <c r="G20" i="1"/>
  <c r="G22" i="1"/>
  <c r="G23" i="1"/>
  <c r="G25" i="1"/>
  <c r="G26" i="1"/>
  <c r="G27" i="1"/>
  <c r="G28" i="1"/>
  <c r="G35" i="1"/>
  <c r="G36" i="1"/>
  <c r="G37" i="1"/>
  <c r="G38" i="1"/>
  <c r="G39" i="1"/>
  <c r="G40" i="1"/>
  <c r="G44" i="1"/>
  <c r="G45" i="1"/>
  <c r="G46" i="1"/>
  <c r="G47" i="1"/>
  <c r="G48" i="1"/>
  <c r="G49" i="1"/>
  <c r="G50" i="1"/>
  <c r="G59" i="1"/>
  <c r="G60" i="1"/>
  <c r="G63" i="1"/>
  <c r="G367" i="1" s="1"/>
  <c r="G119" i="1"/>
  <c r="G126" i="1"/>
  <c r="G229" i="1"/>
  <c r="G231" i="1"/>
  <c r="G232" i="1"/>
  <c r="G292" i="1"/>
  <c r="G306" i="1"/>
  <c r="G309" i="1"/>
  <c r="G312" i="1"/>
  <c r="AZ510" i="1"/>
  <c r="G287" i="1" s="1"/>
  <c r="G241" i="1"/>
  <c r="G314" i="1" l="1"/>
  <c r="G393" i="1"/>
  <c r="G363" i="1"/>
  <c r="G346" i="1"/>
  <c r="G90" i="1"/>
  <c r="G391" i="1"/>
  <c r="G360" i="1"/>
  <c r="G390" i="1"/>
  <c r="G235" i="1"/>
  <c r="G242" i="1"/>
  <c r="G359" i="1"/>
  <c r="G343" i="1"/>
  <c r="G89" i="1"/>
  <c r="G301" i="1"/>
  <c r="G91" i="1"/>
  <c r="G356" i="1"/>
  <c r="G313" i="1"/>
  <c r="G384" i="1"/>
  <c r="G362" i="1"/>
  <c r="G372" i="1"/>
  <c r="G92" i="1"/>
  <c r="G142" i="1"/>
  <c r="G129" i="1"/>
  <c r="G342" i="1"/>
  <c r="G388" i="1"/>
  <c r="G284" i="1"/>
  <c r="G370" i="1"/>
  <c r="G398" i="1"/>
  <c r="G348" i="1"/>
  <c r="G396" i="1"/>
  <c r="G135" i="1"/>
  <c r="G385" i="1"/>
  <c r="G100" i="1"/>
  <c r="G366" i="1"/>
  <c r="G298" i="1"/>
  <c r="G227" i="1"/>
  <c r="G281" i="1"/>
  <c r="G369" i="1"/>
  <c r="G347" i="1"/>
  <c r="G365" i="1"/>
  <c r="G226" i="1"/>
  <c r="G105" i="1"/>
  <c r="G357" i="1"/>
  <c r="G368" i="1"/>
  <c r="G371" i="1"/>
  <c r="G282" i="1"/>
  <c r="G364" i="1"/>
  <c r="G358" i="1"/>
  <c r="G300" i="1"/>
  <c r="G345" i="1"/>
  <c r="G387" i="1"/>
  <c r="G299" i="1"/>
  <c r="G302" i="1"/>
  <c r="G304" i="1"/>
  <c r="G81" i="1"/>
  <c r="G438" i="1"/>
  <c r="G308" i="1"/>
  <c r="G297" i="1"/>
  <c r="G85" i="1"/>
  <c r="G315" i="1"/>
  <c r="G86" i="1"/>
  <c r="G93" i="1"/>
  <c r="G305" i="1"/>
  <c r="G394" i="1"/>
  <c r="G87" i="1"/>
</calcChain>
</file>

<file path=xl/comments1.xml><?xml version="1.0" encoding="utf-8"?>
<comments xmlns="http://schemas.openxmlformats.org/spreadsheetml/2006/main">
  <authors>
    <author>User</author>
  </authors>
  <commentList>
    <comment ref="B484" authorId="0" shapeId="0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Training to be added in the Schedule A
Commissioning
Operating
Maintenance
Refurbishment</t>
        </r>
      </text>
    </comment>
  </commentList>
</comments>
</file>

<file path=xl/sharedStrings.xml><?xml version="1.0" encoding="utf-8"?>
<sst xmlns="http://schemas.openxmlformats.org/spreadsheetml/2006/main" count="2072" uniqueCount="1328">
  <si>
    <t>Labels manufactured to DSP 34-1513 and D-DT-5049 (unless otherwise specified or agreed)</t>
  </si>
  <si>
    <t>Current withstand – earthing circuit (IEC 62271-200 6.6)</t>
  </si>
  <si>
    <t>Earthing switch making capacity (IEC 62271-200 6.101 and IEC 62271-102 6.101) – where applicable</t>
  </si>
  <si>
    <t>Earthing switch mechanical operation (IEC 62271-200 6.102) – where applicable</t>
  </si>
  <si>
    <t>Test to verify the proper functioning of the position indicating device for the earthing switch (IEC 6271-102 6.105) – where applicable.</t>
  </si>
  <si>
    <t>Verification of the protection (IP coding and mechanical impact) (IEC 62271-200 6.7)</t>
  </si>
  <si>
    <t>X-radiation test procedures for vacuum interrupters (IEC 62271-200 6.11)</t>
  </si>
  <si>
    <t>- Mechanical TRIP and CLOSE control facility (only TRIP control to be available on the front of the panel)</t>
  </si>
  <si>
    <t>Partial discharge test (IEC 62271-200 6.2.9)</t>
  </si>
  <si>
    <t>Dielectric tests on cable testing circuits (IEC 62271-200 6.2.101)</t>
  </si>
  <si>
    <t>Additional tests on auxiliary and control circuits (IEC 62271-200 6.10)</t>
  </si>
  <si>
    <t>T.3b)</t>
  </si>
  <si>
    <t>T.3a)</t>
  </si>
  <si>
    <t>Switchgear</t>
  </si>
  <si>
    <t xml:space="preserve">- Stand-off remote control unit push buttons </t>
  </si>
  <si>
    <t>- GA drawing per panel type (provide drawing number on separate sheet provided)</t>
  </si>
  <si>
    <t>- Generic layout of nameplates (provide drawing number on separate sheet provided)</t>
  </si>
  <si>
    <t>CT nameplate drawing number &amp; revision number (where applicable)</t>
  </si>
  <si>
    <t>VT nameplate drawing number &amp; revision number (where applicable)</t>
  </si>
  <si>
    <t>Tools, Spares, Drawing and Type Test Report Schedule for MV metal-enclosed</t>
  </si>
  <si>
    <t>25.7</t>
  </si>
  <si>
    <t>T.2b)</t>
  </si>
  <si>
    <t>T.2a)</t>
  </si>
  <si>
    <t>Operating tools required and supplied with each switchboard (provide detailed list)</t>
  </si>
  <si>
    <t>Complete spare parts list (provide detailed list)</t>
  </si>
  <si>
    <t>Provisions for power cable terminations (where applicable)</t>
  </si>
  <si>
    <t>Provisions of surge arresters (where applicable)</t>
  </si>
  <si>
    <t>Current Transformers (see D-DT-5408) (where applicable)</t>
  </si>
  <si>
    <t>Circuit-breaker auxiliary switch contacts</t>
  </si>
  <si>
    <t>Circuit-breaker spring limit switch contacts</t>
  </si>
  <si>
    <t xml:space="preserve">Trunking provided at top and bottom of each terminal rail </t>
  </si>
  <si>
    <t>'Fine-tooth' trunking tooth width</t>
  </si>
  <si>
    <t>6,1</t>
  </si>
  <si>
    <t>22.50</t>
  </si>
  <si>
    <t>Trunking size</t>
  </si>
  <si>
    <t>60 x 60</t>
  </si>
  <si>
    <t>Wiring size:</t>
  </si>
  <si>
    <t>Wiring colour:</t>
  </si>
  <si>
    <t>22.51</t>
  </si>
  <si>
    <t>22.52</t>
  </si>
  <si>
    <t>22.53</t>
  </si>
  <si>
    <t>red/white/blue/black</t>
  </si>
  <si>
    <t>grey</t>
  </si>
  <si>
    <t>Ferruling</t>
  </si>
  <si>
    <t>Wiring identification</t>
  </si>
  <si>
    <t>22.54</t>
  </si>
  <si>
    <t>22.55</t>
  </si>
  <si>
    <t>22.56</t>
  </si>
  <si>
    <t>22.57</t>
  </si>
  <si>
    <t>22.58</t>
  </si>
  <si>
    <t>LV compartment</t>
  </si>
  <si>
    <t>'A'</t>
  </si>
  <si>
    <r>
      <t>≥</t>
    </r>
    <r>
      <rPr>
        <sz val="10"/>
        <rFont val="Arial"/>
        <family val="2"/>
      </rPr>
      <t xml:space="preserve"> 3</t>
    </r>
  </si>
  <si>
    <t>Namplate material offered</t>
  </si>
  <si>
    <t>5.22.8</t>
  </si>
  <si>
    <t>Busbar earthing switch class (min)</t>
  </si>
  <si>
    <t>Cable earthing switch class (min)</t>
  </si>
  <si>
    <t>- the mechanical tripping device in the case where the circuit-breaker is used for earthing</t>
  </si>
  <si>
    <t>IP67</t>
  </si>
  <si>
    <t>22.59</t>
  </si>
  <si>
    <t>22.60</t>
  </si>
  <si>
    <t>22.61</t>
  </si>
  <si>
    <t>22.62</t>
  </si>
  <si>
    <t>22.63</t>
  </si>
  <si>
    <t>22.64</t>
  </si>
  <si>
    <t>22.65</t>
  </si>
  <si>
    <t>22.66</t>
  </si>
  <si>
    <t>22.67</t>
  </si>
  <si>
    <t>22.68</t>
  </si>
  <si>
    <t>22.69</t>
  </si>
  <si>
    <t>22.70</t>
  </si>
  <si>
    <t>22.71</t>
  </si>
  <si>
    <t>5.17.4.3</t>
  </si>
  <si>
    <t>- Energy storage device</t>
  </si>
  <si>
    <t>- Manual and motorised spring charging</t>
  </si>
  <si>
    <t>- Manual and electric energy release</t>
  </si>
  <si>
    <t>5.12.2</t>
  </si>
  <si>
    <t>14.5</t>
  </si>
  <si>
    <t>Bushings and insulators</t>
  </si>
  <si>
    <t>14.6</t>
  </si>
  <si>
    <t>14.7</t>
  </si>
  <si>
    <t>14.8</t>
  </si>
  <si>
    <t>14.9</t>
  </si>
  <si>
    <t>15</t>
  </si>
  <si>
    <t>5.13</t>
  </si>
  <si>
    <t>15.1</t>
  </si>
  <si>
    <t>15.2</t>
  </si>
  <si>
    <t>Cable compartment design and construction to NRS 012</t>
  </si>
  <si>
    <t>15.3</t>
  </si>
  <si>
    <t>term fix points</t>
  </si>
  <si>
    <t>Number and type of cables to be terminated</t>
  </si>
  <si>
    <t>15.4</t>
  </si>
  <si>
    <t>cables</t>
  </si>
  <si>
    <t>2 x 1-core</t>
  </si>
  <si>
    <t>4 x 1-core</t>
  </si>
  <si>
    <t>15.5</t>
  </si>
  <si>
    <t>15.6</t>
  </si>
  <si>
    <t>15.7</t>
  </si>
  <si>
    <t>15.8</t>
  </si>
  <si>
    <t>15.9</t>
  </si>
  <si>
    <t>e</t>
  </si>
  <si>
    <t>15.10</t>
  </si>
  <si>
    <t>5.14</t>
  </si>
  <si>
    <t>16</t>
  </si>
  <si>
    <t>16.1</t>
  </si>
  <si>
    <t>earth cond</t>
  </si>
  <si>
    <t>Schedule A:  Purchasers specific requirements</t>
  </si>
  <si>
    <t>Schedule B: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</si>
  <si>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</si>
  <si>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Description</t>
  </si>
  <si>
    <t>Schedule A</t>
  </si>
  <si>
    <t>Schedule B</t>
  </si>
  <si>
    <t>·</t>
  </si>
  <si>
    <t>Yes</t>
  </si>
  <si>
    <t>xxxxxxxxxx</t>
  </si>
  <si>
    <t>Date</t>
  </si>
  <si>
    <t>%</t>
  </si>
  <si>
    <t>kV</t>
  </si>
  <si>
    <t>A</t>
  </si>
  <si>
    <t>°C</t>
  </si>
  <si>
    <t>mm</t>
  </si>
  <si>
    <t>kg</t>
  </si>
  <si>
    <t>Deviation schedule</t>
  </si>
  <si>
    <t>4.19</t>
  </si>
  <si>
    <t>Classification of circuit-breaker according to its restrike performance (line- and cable-charging breaking current)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</si>
  <si>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</si>
  <si>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</si>
  <si>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</si>
  <si>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Proposed deviation</t>
  </si>
  <si>
    <t>SAP No</t>
  </si>
  <si>
    <t xml:space="preserve">         </t>
  </si>
  <si>
    <t>Supplier</t>
  </si>
  <si>
    <t>Name (Print)</t>
  </si>
  <si>
    <t>Sign</t>
  </si>
  <si>
    <t>Factory</t>
  </si>
  <si>
    <t>Eskom</t>
  </si>
  <si>
    <t>SIGNATURES</t>
  </si>
  <si>
    <t>General</t>
  </si>
  <si>
    <t>Ambient air temperature range</t>
  </si>
  <si>
    <t>Average humidity</t>
  </si>
  <si>
    <t>m</t>
  </si>
  <si>
    <t>Number of phases</t>
  </si>
  <si>
    <t>Hz</t>
  </si>
  <si>
    <t>System voltage range</t>
  </si>
  <si>
    <t>pu</t>
  </si>
  <si>
    <t>0,9 to 1,1</t>
  </si>
  <si>
    <t>System earthing (effective/non effective)</t>
  </si>
  <si>
    <t>No</t>
  </si>
  <si>
    <r>
      <t>mm</t>
    </r>
    <r>
      <rPr>
        <vertAlign val="superscript"/>
        <sz val="10"/>
        <rFont val="Arial"/>
        <family val="2"/>
      </rPr>
      <t>2</t>
    </r>
  </si>
  <si>
    <t>a) cores</t>
  </si>
  <si>
    <t>b) class</t>
  </si>
  <si>
    <t>VA</t>
  </si>
  <si>
    <t>1,5</t>
  </si>
  <si>
    <t>2,5</t>
  </si>
  <si>
    <t>Crimped</t>
  </si>
  <si>
    <t>Earth sliding link types/equivalents</t>
  </si>
  <si>
    <t>Miscellaneous</t>
  </si>
  <si>
    <t>Guarantee period</t>
  </si>
  <si>
    <t>Required period for spares availability</t>
  </si>
  <si>
    <t>Sets</t>
  </si>
  <si>
    <t>In tender/offer</t>
  </si>
  <si>
    <t>Altitude (amsl)</t>
  </si>
  <si>
    <t>up to 1800</t>
  </si>
  <si>
    <t>-5 to +40</t>
  </si>
  <si>
    <t>up to 95</t>
  </si>
  <si>
    <t>Non-effective</t>
  </si>
  <si>
    <t>&gt;6</t>
  </si>
  <si>
    <t>Protection current transformers:</t>
  </si>
  <si>
    <t>&gt; 5</t>
  </si>
  <si>
    <r>
      <t>NOTE:</t>
    </r>
    <r>
      <rPr>
        <sz val="8.5"/>
        <rFont val="Arial"/>
        <family val="2"/>
      </rPr>
      <t xml:space="preserve">  When a feeder circuit-breaker is in the closed position and the spring has been charged, it shall be able to “TRIP-CLOSE-TRIP” before the spring needs to be recharged</t>
    </r>
  </si>
  <si>
    <t xml:space="preserve">  - N/O and N/C contact reference positions</t>
  </si>
  <si>
    <t xml:space="preserve">  - N/O</t>
  </si>
  <si>
    <t xml:space="preserve">  - N/C</t>
  </si>
  <si>
    <t>ms</t>
  </si>
  <si>
    <t>Training Requirements</t>
  </si>
  <si>
    <t>Lead Time (weeks)</t>
  </si>
  <si>
    <t>Location when ordered</t>
  </si>
  <si>
    <t>85 to 110</t>
  </si>
  <si>
    <t>IP3X</t>
  </si>
  <si>
    <t>W</t>
  </si>
  <si>
    <t>Years</t>
  </si>
  <si>
    <t>T.1</t>
  </si>
  <si>
    <t>Drawings</t>
  </si>
  <si>
    <t>T.4</t>
  </si>
  <si>
    <t>Report Number</t>
  </si>
  <si>
    <t>Buyers Guide Drawing</t>
  </si>
  <si>
    <t>Buyer's Guide Drawing</t>
  </si>
  <si>
    <t>Select item from list . . .</t>
  </si>
  <si>
    <t>Ratings</t>
  </si>
  <si>
    <r>
      <t>Rated short-duration power-frequency withstand voltage (</t>
    </r>
    <r>
      <rPr>
        <i/>
        <sz val="10"/>
        <rFont val="Arial"/>
        <family val="2"/>
      </rPr>
      <t>U</t>
    </r>
    <r>
      <rPr>
        <vertAlign val="subscript"/>
        <sz val="10"/>
        <rFont val="Arial"/>
        <family val="2"/>
      </rPr>
      <t>d</t>
    </r>
    <r>
      <rPr>
        <sz val="10"/>
        <rFont val="Arial"/>
        <family val="2"/>
      </rPr>
      <t>)</t>
    </r>
  </si>
  <si>
    <r>
      <t>Rated voltage (</t>
    </r>
    <r>
      <rPr>
        <i/>
        <sz val="10"/>
        <rFont val="Arial"/>
        <family val="2"/>
      </rPr>
      <t>U</t>
    </r>
    <r>
      <rPr>
        <vertAlign val="subscript"/>
        <sz val="10"/>
        <rFont val="Arial"/>
        <family val="2"/>
      </rPr>
      <t>r</t>
    </r>
    <r>
      <rPr>
        <sz val="10"/>
        <rFont val="Arial"/>
        <family val="2"/>
      </rPr>
      <t>)</t>
    </r>
  </si>
  <si>
    <t>Rated Voltage</t>
  </si>
  <si>
    <r>
      <t>Rated peak lightning impulse withstand voltage (</t>
    </r>
    <r>
      <rPr>
        <i/>
        <sz val="10"/>
        <rFont val="Arial"/>
        <family val="2"/>
      </rPr>
      <t>U</t>
    </r>
    <r>
      <rPr>
        <vertAlign val="subscript"/>
        <sz val="10"/>
        <rFont val="Arial"/>
        <family val="2"/>
      </rPr>
      <t>p</t>
    </r>
    <r>
      <rPr>
        <sz val="10"/>
        <rFont val="Arial"/>
        <family val="2"/>
      </rPr>
      <t>)</t>
    </r>
  </si>
  <si>
    <t>Ud</t>
  </si>
  <si>
    <t>Up</t>
  </si>
  <si>
    <t>N/A</t>
  </si>
  <si>
    <r>
      <t>Rated frequency (</t>
    </r>
    <r>
      <rPr>
        <i/>
        <sz val="10"/>
        <rFont val="Arial"/>
        <family val="2"/>
      </rPr>
      <t>f</t>
    </r>
    <r>
      <rPr>
        <vertAlign val="subscript"/>
        <sz val="10"/>
        <rFont val="Arial"/>
        <family val="2"/>
      </rPr>
      <t>r</t>
    </r>
    <r>
      <rPr>
        <sz val="10"/>
        <rFont val="Arial"/>
        <family val="2"/>
      </rPr>
      <t>)</t>
    </r>
  </si>
  <si>
    <t>Ir - busbar</t>
  </si>
  <si>
    <t>Ir - panel</t>
  </si>
  <si>
    <r>
      <t>Rated short-time withstand current (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k</t>
    </r>
    <r>
      <rPr>
        <sz val="10"/>
        <rFont val="Arial"/>
        <family val="2"/>
      </rPr>
      <t xml:space="preserve"> and 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ke</t>
    </r>
    <r>
      <rPr>
        <sz val="10"/>
        <rFont val="Arial"/>
        <family val="2"/>
      </rPr>
      <t>)</t>
    </r>
  </si>
  <si>
    <r>
      <t>Rated peak withstand current (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p</t>
    </r>
    <r>
      <rPr>
        <sz val="10"/>
        <rFont val="Arial"/>
        <family val="2"/>
      </rPr>
      <t xml:space="preserve"> and 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pe</t>
    </r>
    <r>
      <rPr>
        <sz val="10"/>
        <rFont val="Arial"/>
        <family val="2"/>
      </rPr>
      <t>)</t>
    </r>
  </si>
  <si>
    <t>Ik, Ike</t>
  </si>
  <si>
    <t>Ip, Ipe</t>
  </si>
  <si>
    <t>s</t>
  </si>
  <si>
    <r>
      <t>Rated duration of short circuit (</t>
    </r>
    <r>
      <rPr>
        <i/>
        <sz val="10"/>
        <rFont val="Arial"/>
        <family val="2"/>
      </rPr>
      <t>t</t>
    </r>
    <r>
      <rPr>
        <i/>
        <vertAlign val="subscript"/>
        <sz val="10"/>
        <rFont val="Arial"/>
        <family val="2"/>
      </rPr>
      <t>ke</t>
    </r>
    <r>
      <rPr>
        <sz val="10"/>
        <rFont val="Arial"/>
        <family val="2"/>
      </rPr>
      <t>) - earthing circuit</t>
    </r>
  </si>
  <si>
    <r>
      <t>Rated duration of short circuit (</t>
    </r>
    <r>
      <rPr>
        <i/>
        <sz val="10"/>
        <rFont val="Arial"/>
        <family val="2"/>
      </rPr>
      <t>t</t>
    </r>
    <r>
      <rPr>
        <i/>
        <vertAlign val="subscript"/>
        <sz val="10"/>
        <rFont val="Arial"/>
        <family val="2"/>
      </rPr>
      <t>k</t>
    </r>
    <r>
      <rPr>
        <sz val="10"/>
        <rFont val="Arial"/>
        <family val="2"/>
      </rPr>
      <t>) - main circuit and earthing switch</t>
    </r>
  </si>
  <si>
    <t>kA</t>
  </si>
  <si>
    <t>V</t>
  </si>
  <si>
    <r>
      <t>Rated d.c. supply voltage of closing and opening devices and of auxiliary and control circuits (</t>
    </r>
    <r>
      <rPr>
        <i/>
        <sz val="10"/>
        <rFont val="Arial"/>
        <family val="2"/>
      </rPr>
      <t>U</t>
    </r>
    <r>
      <rPr>
        <vertAlign val="subscript"/>
        <sz val="10"/>
        <rFont val="Arial"/>
        <family val="2"/>
      </rPr>
      <t>a</t>
    </r>
    <r>
      <rPr>
        <sz val="10"/>
        <rFont val="Arial"/>
        <family val="2"/>
      </rPr>
      <t>)</t>
    </r>
  </si>
  <si>
    <r>
      <t>Rated a.c. supply voltage of heaters and other a.c. auxiliary circuits (</t>
    </r>
    <r>
      <rPr>
        <i/>
        <sz val="10"/>
        <rFont val="Arial"/>
        <family val="2"/>
      </rPr>
      <t>U</t>
    </r>
    <r>
      <rPr>
        <vertAlign val="subscript"/>
        <sz val="10"/>
        <rFont val="Arial"/>
        <family val="2"/>
      </rPr>
      <t>a</t>
    </r>
    <r>
      <rPr>
        <sz val="10"/>
        <rFont val="Arial"/>
        <family val="2"/>
      </rPr>
      <t>)</t>
    </r>
  </si>
  <si>
    <t>Rated supply frequency of closing and opening devices and of auxiliary and control circuits</t>
  </si>
  <si>
    <t>SANS 62271-100 Table 1</t>
  </si>
  <si>
    <t>Standard values of TRV related to the rated short-circuit breaking current (SANS 62271-100)</t>
  </si>
  <si>
    <t>- Bushings and insulators partial discharge tested to SANS 60270</t>
  </si>
  <si>
    <t>Dry type current transformers to SANS 60044-1</t>
  </si>
  <si>
    <t>Dry type voltage transformers to SANS 60044-2</t>
  </si>
  <si>
    <t xml:space="preserve">- MCBs to SANS 60947-2 and IEC 60898 </t>
  </si>
  <si>
    <t>- Utilisation category (SANS 60947-2)</t>
  </si>
  <si>
    <t>- Pollution degree (SANS 60947-2)</t>
  </si>
  <si>
    <t>- Suitable for isolation (SANS 60947-2)</t>
  </si>
  <si>
    <t>- Protection curve (SANS 60947-2 / IEC 60898)</t>
  </si>
  <si>
    <t>Rated supply frequency of heaters and other a.c. auxiliary circuits</t>
  </si>
  <si>
    <t>d.c.</t>
  </si>
  <si>
    <t>TRV</t>
  </si>
  <si>
    <t>Op Seq</t>
  </si>
  <si>
    <t xml:space="preserve">O-0,3s-CO-3m-CO </t>
  </si>
  <si>
    <t xml:space="preserve">O-3m-CO-3m-CO </t>
  </si>
  <si>
    <r>
      <t>Rated normal current (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r</t>
    </r>
    <r>
      <rPr>
        <sz val="10"/>
        <rFont val="Arial"/>
        <family val="2"/>
      </rPr>
      <t>) - busbar main circuit</t>
    </r>
  </si>
  <si>
    <r>
      <t>Rated normal current (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r</t>
    </r>
    <r>
      <rPr>
        <sz val="10"/>
        <rFont val="Arial"/>
        <family val="2"/>
      </rPr>
      <t>) - circuit-breaker main circuit</t>
    </r>
  </si>
  <si>
    <t>Isc</t>
  </si>
  <si>
    <t>Imake</t>
  </si>
  <si>
    <t>fptcf</t>
  </si>
  <si>
    <t>Characteristics for short-line faults</t>
  </si>
  <si>
    <t>Rated out-of-phase making and breaking current for circuit-breakers</t>
  </si>
  <si>
    <t>Ii</t>
  </si>
  <si>
    <t>Ic</t>
  </si>
  <si>
    <t>Isb</t>
  </si>
  <si>
    <t>Ibb</t>
  </si>
  <si>
    <t>Ibi</t>
  </si>
  <si>
    <t>2.20</t>
  </si>
  <si>
    <t>2.21</t>
  </si>
  <si>
    <t>2.22</t>
  </si>
  <si>
    <t>2.23</t>
  </si>
  <si>
    <t>Rated capacitive switching currents for circuit-breaker - line-charging breaking current</t>
  </si>
  <si>
    <t>Rated capacitive switching currents for circuit-breaker - cable-charging breaking current</t>
  </si>
  <si>
    <t>Rated operating sequence for circuit-breaker</t>
  </si>
  <si>
    <t>Classification of circuit-breaker according to its restrike performance (capacitor bank breaking current)</t>
  </si>
  <si>
    <t>Rated short-circuit making current of circuit-breaker and earthing switch</t>
  </si>
  <si>
    <r>
      <t>First-pole-to-clear factor (</t>
    </r>
    <r>
      <rPr>
        <i/>
        <sz val="10"/>
        <rFont val="Arial"/>
        <family val="2"/>
      </rPr>
      <t>k</t>
    </r>
    <r>
      <rPr>
        <vertAlign val="subscript"/>
        <sz val="10"/>
        <rFont val="Arial"/>
        <family val="2"/>
      </rPr>
      <t>pp</t>
    </r>
    <r>
      <rPr>
        <sz val="10"/>
        <rFont val="Arial"/>
        <family val="2"/>
      </rPr>
      <t>) for circuit-breaker</t>
    </r>
  </si>
  <si>
    <r>
      <t>Rated short-circuit breaking current (</t>
    </r>
    <r>
      <rPr>
        <i/>
        <sz val="10"/>
        <rFont val="Arial"/>
        <family val="2"/>
      </rPr>
      <t>I</t>
    </r>
    <r>
      <rPr>
        <vertAlign val="subscript"/>
        <sz val="10"/>
        <rFont val="Arial"/>
        <family val="2"/>
      </rPr>
      <t>SC</t>
    </r>
    <r>
      <rPr>
        <sz val="10"/>
        <rFont val="Arial"/>
        <family val="2"/>
      </rPr>
      <t>) of circuit-breaker</t>
    </r>
  </si>
  <si>
    <t>Circuit-breaker mechanical endurance class</t>
  </si>
  <si>
    <t>Inductive load switching for circuit-breaker</t>
  </si>
  <si>
    <t>2.24</t>
  </si>
  <si>
    <t>2.25</t>
  </si>
  <si>
    <t>2.26</t>
  </si>
  <si>
    <t>2.27</t>
  </si>
  <si>
    <t>2.28</t>
  </si>
  <si>
    <t>2.29</t>
  </si>
  <si>
    <t>Rated capacitive switching currents for circuit-breaker - single capacitor bank breaking current</t>
  </si>
  <si>
    <t>Rated capacitive switching currents for circuit-breaker - back-to-back capacitor bank breaking current</t>
  </si>
  <si>
    <t>Rated capacitive switching currents for circuit-breaker - back-to-back capacitor bank inrush making current</t>
  </si>
  <si>
    <t>M class</t>
  </si>
  <si>
    <t>Number of mechanical operations for circuit-breaker</t>
  </si>
  <si>
    <t>No ops</t>
  </si>
  <si>
    <t>4.110</t>
  </si>
  <si>
    <t>Rated opening time for circuit-breaker</t>
  </si>
  <si>
    <t>Rated break-time for circuit-breaker</t>
  </si>
  <si>
    <t>Rated closing time for circuit-breaker</t>
  </si>
  <si>
    <t>Class C1</t>
  </si>
  <si>
    <t>Class C2</t>
  </si>
  <si>
    <t>Class M1</t>
  </si>
  <si>
    <t>Class M2</t>
  </si>
  <si>
    <t>2.10</t>
  </si>
  <si>
    <t>Minimum resting time following rated operating sequence</t>
  </si>
  <si>
    <t>min</t>
  </si>
  <si>
    <t>2.38</t>
  </si>
  <si>
    <t>4.104</t>
  </si>
  <si>
    <t>Rated open-close time for circuit-breaker</t>
  </si>
  <si>
    <t>Rated reclosing time for circuit-breaker</t>
  </si>
  <si>
    <t>Rated close-open time for circuit-breaker</t>
  </si>
  <si>
    <t>Rated pre-insertion time for circuit-breaker</t>
  </si>
  <si>
    <t>2.39</t>
  </si>
  <si>
    <t>2.40</t>
  </si>
  <si>
    <t>2.41</t>
  </si>
  <si>
    <t>2.42</t>
  </si>
  <si>
    <t>Circuit-breaker spring-charging motor control circuit:</t>
  </si>
  <si>
    <t>- automatic charging of closing spring</t>
  </si>
  <si>
    <t>5.1.2</t>
  </si>
  <si>
    <t>5.1.1</t>
  </si>
  <si>
    <t>2.30</t>
  </si>
  <si>
    <t>2.31</t>
  </si>
  <si>
    <t>2.32</t>
  </si>
  <si>
    <t>2.33</t>
  </si>
  <si>
    <t>2.34</t>
  </si>
  <si>
    <t>2.35</t>
  </si>
  <si>
    <t>2.36</t>
  </si>
  <si>
    <t>Classification of circuit-breakers as a function of electrical endurance</t>
  </si>
  <si>
    <t>E class</t>
  </si>
  <si>
    <t>Class E2 (without auto-reclosing)</t>
  </si>
  <si>
    <t>Class E2 (with auto-reclosing)</t>
  </si>
  <si>
    <t>4.111</t>
  </si>
  <si>
    <t>2.37</t>
  </si>
  <si>
    <t>Circuit-breaker class</t>
  </si>
  <si>
    <t>CB class</t>
  </si>
  <si>
    <t>Class S1</t>
  </si>
  <si>
    <t>1.3</t>
  </si>
  <si>
    <t>Panel application</t>
  </si>
  <si>
    <t>App</t>
  </si>
  <si>
    <t>Bus-section</t>
  </si>
  <si>
    <t>Incomer</t>
  </si>
  <si>
    <t>Feeder</t>
  </si>
  <si>
    <t>5.1</t>
  </si>
  <si>
    <t xml:space="preserve">Class of pollution (SANS 60815-1:2009) </t>
  </si>
  <si>
    <t>Condensation</t>
  </si>
  <si>
    <t>Medium ('c')</t>
  </si>
  <si>
    <t>3.2</t>
  </si>
  <si>
    <t>3.3</t>
  </si>
  <si>
    <t>3.4</t>
  </si>
  <si>
    <t>3.5</t>
  </si>
  <si>
    <t>5.2</t>
  </si>
  <si>
    <t>1.4</t>
  </si>
  <si>
    <t>Nominal system voltage</t>
  </si>
  <si>
    <t>Vn</t>
  </si>
  <si>
    <t>Service conditions</t>
  </si>
  <si>
    <t>Item and system description</t>
  </si>
  <si>
    <t>1.5</t>
  </si>
  <si>
    <t>1.6</t>
  </si>
  <si>
    <t>Location (indoors/outdoors)</t>
  </si>
  <si>
    <t>Indoors</t>
  </si>
  <si>
    <t>4.1</t>
  </si>
  <si>
    <t>4.2</t>
  </si>
  <si>
    <t>4.3</t>
  </si>
  <si>
    <t>4.4</t>
  </si>
  <si>
    <t>4.5</t>
  </si>
  <si>
    <t>4.6</t>
  </si>
  <si>
    <t>5.2.6</t>
  </si>
  <si>
    <t>5.2.1/5.2.2</t>
  </si>
  <si>
    <t>5.2.3</t>
  </si>
  <si>
    <t>5.2.5</t>
  </si>
  <si>
    <t>5.3</t>
  </si>
  <si>
    <t>Architecture and accessibility to compartments</t>
  </si>
  <si>
    <t>5.4</t>
  </si>
  <si>
    <t>5.5</t>
  </si>
  <si>
    <t>5.6</t>
  </si>
  <si>
    <t>5.7</t>
  </si>
  <si>
    <t>4.7</t>
  </si>
  <si>
    <t>5.3.1</t>
  </si>
  <si>
    <t>Interlock-controlled</t>
  </si>
  <si>
    <t>Tool-based</t>
  </si>
  <si>
    <t>6</t>
  </si>
  <si>
    <t>Service continuity of the switchgear</t>
  </si>
  <si>
    <t xml:space="preserve">Loss of service continuity category </t>
  </si>
  <si>
    <t>Partition class and shutters</t>
  </si>
  <si>
    <t>PM</t>
  </si>
  <si>
    <t>6.1</t>
  </si>
  <si>
    <t>7</t>
  </si>
  <si>
    <t>7.1</t>
  </si>
  <si>
    <t>Internal arc classification</t>
  </si>
  <si>
    <t>8</t>
  </si>
  <si>
    <t>AFLR</t>
  </si>
  <si>
    <t>Classification test current value</t>
  </si>
  <si>
    <t>Classification test current duration</t>
  </si>
  <si>
    <t>Pressure relief direction</t>
  </si>
  <si>
    <t>Upwards</t>
  </si>
  <si>
    <t>__________</t>
  </si>
  <si>
    <t>8.1</t>
  </si>
  <si>
    <t>8.2</t>
  </si>
  <si>
    <t>8.3</t>
  </si>
  <si>
    <t>8.4</t>
  </si>
  <si>
    <t>8.5</t>
  </si>
  <si>
    <t>9</t>
  </si>
  <si>
    <t>Earthing circuit and earthing devices</t>
  </si>
  <si>
    <t>Cross section dimensions of the earthing bars (earthing circuit)</t>
  </si>
  <si>
    <t>Earth bar</t>
  </si>
  <si>
    <t>5.7.1</t>
  </si>
  <si>
    <t>M12 fixing holes provided in earthing bars</t>
  </si>
  <si>
    <t>9.1</t>
  </si>
  <si>
    <t>9.2</t>
  </si>
  <si>
    <t>9.3</t>
  </si>
  <si>
    <t>9.4</t>
  </si>
  <si>
    <t>5.7.2.1</t>
  </si>
  <si>
    <t>26.16</t>
  </si>
  <si>
    <t>- Commissioning and hand-over test sheet</t>
  </si>
  <si>
    <t>5.7.2.2</t>
  </si>
  <si>
    <t>9.5</t>
  </si>
  <si>
    <t>5.7.2.3</t>
  </si>
  <si>
    <t>9.6</t>
  </si>
  <si>
    <t>9.7</t>
  </si>
  <si>
    <t>9.8</t>
  </si>
  <si>
    <t>5.7.2.5</t>
  </si>
  <si>
    <t>9.9</t>
  </si>
  <si>
    <t>5.7.2.6</t>
  </si>
  <si>
    <t>9.10</t>
  </si>
  <si>
    <t>5.7.2.8</t>
  </si>
  <si>
    <t>10</t>
  </si>
  <si>
    <t>5.8</t>
  </si>
  <si>
    <t>Trip coils &amp; close coils</t>
  </si>
  <si>
    <t>- full list of spares required for maintenance (provide list on separate sheet provided)</t>
  </si>
  <si>
    <t>25 years after discontinuation of switchgear</t>
  </si>
  <si>
    <t>Y/N</t>
  </si>
  <si>
    <t>- all other relevant additional information requested</t>
  </si>
  <si>
    <t>Spares available for maintenance (provide list on separate sheet provided)</t>
  </si>
  <si>
    <t>2  of each per switchboard</t>
  </si>
  <si>
    <t>&gt; 300</t>
  </si>
  <si>
    <t>5.13.1</t>
  </si>
  <si>
    <t>5.13.2</t>
  </si>
  <si>
    <t>5.13.3</t>
  </si>
  <si>
    <t>5.13.4</t>
  </si>
  <si>
    <t>5.6.1</t>
  </si>
  <si>
    <t>5.6.2</t>
  </si>
  <si>
    <t>5.6.3</t>
  </si>
  <si>
    <t>5.6.6</t>
  </si>
  <si>
    <t>Facilities provided to padlock the following:</t>
  </si>
  <si>
    <t>5.8.1</t>
  </si>
  <si>
    <t>4.8</t>
  </si>
  <si>
    <t>4.9</t>
  </si>
  <si>
    <t>4.10</t>
  </si>
  <si>
    <t>4.11</t>
  </si>
  <si>
    <t>Padlocking facilities</t>
  </si>
  <si>
    <t>10.1</t>
  </si>
  <si>
    <t>10.2</t>
  </si>
  <si>
    <t>10.3</t>
  </si>
  <si>
    <t>10.4</t>
  </si>
  <si>
    <t>5.8.2</t>
  </si>
  <si>
    <t xml:space="preserve">  - LV equipment</t>
  </si>
  <si>
    <t xml:space="preserve">  - Power cable/CT (feeder/incomer panels only)</t>
  </si>
  <si>
    <t>Bus-section/coupler switching device</t>
  </si>
  <si>
    <t>Busbar configuration (Horizontal/Vertical/Delta)</t>
  </si>
  <si>
    <t>Panel manufacturer</t>
  </si>
  <si>
    <t>Panel total mass</t>
  </si>
  <si>
    <t>4.12</t>
  </si>
  <si>
    <t>4.13</t>
  </si>
  <si>
    <t>4.14</t>
  </si>
  <si>
    <t>4.15</t>
  </si>
  <si>
    <t>4.16</t>
  </si>
  <si>
    <t>4.17</t>
  </si>
  <si>
    <t>11</t>
  </si>
  <si>
    <t>5.9</t>
  </si>
  <si>
    <t>5.9.1</t>
  </si>
  <si>
    <t>11.1</t>
  </si>
  <si>
    <t>11.2</t>
  </si>
  <si>
    <t>Minimum length of lead (umbilical cord)</t>
  </si>
  <si>
    <t>Control box fitted with push-buttons in accordance with 5.9.3</t>
  </si>
  <si>
    <t>5.9.3</t>
  </si>
  <si>
    <t>Stand-off hand-held remote control unit supplied with switchboard</t>
  </si>
  <si>
    <t>Type of female receptacle (circular panel connector with self-retaining bayonet coupling) to be supplied</t>
  </si>
  <si>
    <t>Control box IP rating</t>
  </si>
  <si>
    <t>IP</t>
  </si>
  <si>
    <t>11.3</t>
  </si>
  <si>
    <t>11.4</t>
  </si>
  <si>
    <t>5.9.4</t>
  </si>
  <si>
    <t>5.9.2</t>
  </si>
  <si>
    <t>5.9.5</t>
  </si>
  <si>
    <t>5.9.6</t>
  </si>
  <si>
    <t>11.5</t>
  </si>
  <si>
    <t>11.6</t>
  </si>
  <si>
    <t>11.7</t>
  </si>
  <si>
    <t>11.8</t>
  </si>
  <si>
    <t>11.9</t>
  </si>
  <si>
    <t>5.9.7</t>
  </si>
  <si>
    <t>Location of female receptacle</t>
  </si>
  <si>
    <t>5.9.8</t>
  </si>
  <si>
    <t>pins</t>
  </si>
  <si>
    <t>-</t>
  </si>
  <si>
    <t>5.10.4</t>
  </si>
  <si>
    <r>
      <t>≤</t>
    </r>
    <r>
      <rPr>
        <sz val="10"/>
        <rFont val="Arial"/>
        <family val="2"/>
      </rPr>
      <t xml:space="preserve"> 100</t>
    </r>
  </si>
  <si>
    <t>- total time taken to charge spring</t>
  </si>
  <si>
    <t>- d.c. power (peak)</t>
  </si>
  <si>
    <t>- d.c. power (continuous)</t>
  </si>
  <si>
    <t>TRIP control function</t>
  </si>
  <si>
    <t>CLOSE control function</t>
  </si>
  <si>
    <t>12</t>
  </si>
  <si>
    <t>5.10</t>
  </si>
  <si>
    <t>12.1</t>
  </si>
  <si>
    <t>12.2</t>
  </si>
  <si>
    <t>5.10.1</t>
  </si>
  <si>
    <t>5.10.2</t>
  </si>
  <si>
    <t>12.3</t>
  </si>
  <si>
    <t>12.4</t>
  </si>
  <si>
    <t>5.10.3</t>
  </si>
  <si>
    <t>12.5</t>
  </si>
  <si>
    <t>13</t>
  </si>
  <si>
    <t>5.11</t>
  </si>
  <si>
    <t>Switchboard physical design</t>
  </si>
  <si>
    <t>13.1</t>
  </si>
  <si>
    <t>5.11.1.2</t>
  </si>
  <si>
    <t>Switchroom and cable trench design</t>
  </si>
  <si>
    <t>D-DT-5238</t>
  </si>
  <si>
    <t>13.2</t>
  </si>
  <si>
    <t>Operation of switchgear</t>
  </si>
  <si>
    <t>Front</t>
  </si>
  <si>
    <t>5.11.1.3</t>
  </si>
  <si>
    <t>Panel fronts fully aligned</t>
  </si>
  <si>
    <t>5.11.1.4</t>
  </si>
  <si>
    <t>5.11.1.5</t>
  </si>
  <si>
    <t>13.4</t>
  </si>
  <si>
    <t>13.3</t>
  </si>
  <si>
    <t>13.5</t>
  </si>
  <si>
    <t>Suitable for future extensions on both sides of the switchboard</t>
  </si>
  <si>
    <t>5.11.1.6</t>
  </si>
  <si>
    <t>5.11.1.8</t>
  </si>
  <si>
    <t>13.6</t>
  </si>
  <si>
    <t>5.11.1.9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</si>
  <si>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</si>
  <si>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</si>
  <si>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</si>
  <si>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</si>
  <si>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</si>
  <si>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</si>
  <si>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</si>
  <si>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</si>
  <si>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</si>
  <si>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Overall panel dimensions</t>
  </si>
  <si>
    <t xml:space="preserve">  - Width</t>
  </si>
  <si>
    <t xml:space="preserve">  - Depth (front to rear)</t>
  </si>
  <si>
    <t xml:space="preserve">  - Height</t>
  </si>
  <si>
    <t>13.16</t>
  </si>
  <si>
    <t>13.17</t>
  </si>
  <si>
    <t>13.18</t>
  </si>
  <si>
    <t xml:space="preserve">  - rear of panel to centre of LV control cable gland plate</t>
  </si>
  <si>
    <t xml:space="preserve">  - distance (clearance) required to the rear switch room wall (min)</t>
  </si>
  <si>
    <t xml:space="preserve">  - cable trench width required (min)</t>
  </si>
  <si>
    <t xml:space="preserve">  - cable trench over-hang required for cable terminations (min)</t>
  </si>
  <si>
    <t>13.19</t>
  </si>
  <si>
    <t>13.20</t>
  </si>
  <si>
    <t>13.21</t>
  </si>
  <si>
    <t>LV Compartment</t>
  </si>
  <si>
    <t>Location of LV compartment</t>
  </si>
  <si>
    <t>13.22</t>
  </si>
  <si>
    <t>5.11.2.1</t>
  </si>
  <si>
    <t>5.11.2</t>
  </si>
  <si>
    <t>Prot scheme</t>
  </si>
  <si>
    <t>13.23</t>
  </si>
  <si>
    <t>13.24</t>
  </si>
  <si>
    <t>5.11.2.2</t>
  </si>
  <si>
    <t>5.11.2.4</t>
  </si>
  <si>
    <t>Degrees of protection of enclosures</t>
  </si>
  <si>
    <t>5.11.3</t>
  </si>
  <si>
    <t>13.25</t>
  </si>
  <si>
    <t>IP2X</t>
  </si>
  <si>
    <t>- Moving parts</t>
  </si>
  <si>
    <t>- Live parts</t>
  </si>
  <si>
    <t>- cable boxes</t>
  </si>
  <si>
    <t>5.11.4</t>
  </si>
  <si>
    <t>DS</t>
  </si>
  <si>
    <t>- Corrosion protection system applied for all earthing bars</t>
  </si>
  <si>
    <t>Tinned / Silverised</t>
  </si>
  <si>
    <t>5.11.4.1</t>
  </si>
  <si>
    <t>5.11.4.2</t>
  </si>
  <si>
    <r>
      <t>≥</t>
    </r>
    <r>
      <rPr>
        <sz val="10"/>
        <rFont val="Arial"/>
        <family val="2"/>
      </rPr>
      <t xml:space="preserve"> 8</t>
    </r>
  </si>
  <si>
    <r>
      <t>≥</t>
    </r>
    <r>
      <rPr>
        <sz val="10"/>
        <rFont val="Arial"/>
        <family val="2"/>
      </rPr>
      <t xml:space="preserve"> 125</t>
    </r>
  </si>
  <si>
    <t>5.11.4.3</t>
  </si>
  <si>
    <t>13.26</t>
  </si>
  <si>
    <t>13.27</t>
  </si>
  <si>
    <t>13.28</t>
  </si>
  <si>
    <t>13.29</t>
  </si>
  <si>
    <t>13.30</t>
  </si>
  <si>
    <t>13.31</t>
  </si>
  <si>
    <t>5.11.5</t>
  </si>
  <si>
    <t>13.32</t>
  </si>
  <si>
    <t>14.10</t>
  </si>
  <si>
    <t>14</t>
  </si>
  <si>
    <t>5.12</t>
  </si>
  <si>
    <t>5.12.1</t>
  </si>
  <si>
    <t>14.1</t>
  </si>
  <si>
    <t>14.2</t>
  </si>
  <si>
    <t>14.3</t>
  </si>
  <si>
    <t>14.4</t>
  </si>
  <si>
    <t>5.15</t>
  </si>
  <si>
    <t>17</t>
  </si>
  <si>
    <t>17.1</t>
  </si>
  <si>
    <t>17.2</t>
  </si>
  <si>
    <t>5.15.1</t>
  </si>
  <si>
    <t>17.3</t>
  </si>
  <si>
    <t>5.15.3</t>
  </si>
  <si>
    <t>Cable earth interlocking system provided in accordance with 5.7.2.5</t>
  </si>
  <si>
    <t>Busbar earth interlocking system provided in accordance with 5.7.2.6</t>
  </si>
  <si>
    <t>Position / status indication</t>
  </si>
  <si>
    <t>5.16</t>
  </si>
  <si>
    <t>18</t>
  </si>
  <si>
    <t>18.1</t>
  </si>
  <si>
    <t>18.2</t>
  </si>
  <si>
    <t>5.16.1.1</t>
  </si>
  <si>
    <t>18.3</t>
  </si>
  <si>
    <t>5.16.1.2</t>
  </si>
  <si>
    <t>18.4</t>
  </si>
  <si>
    <t>5.16.2</t>
  </si>
  <si>
    <t>18.5</t>
  </si>
  <si>
    <t>18.6</t>
  </si>
  <si>
    <t>18.7</t>
  </si>
  <si>
    <t>18.8</t>
  </si>
  <si>
    <t>18.9</t>
  </si>
  <si>
    <t>18.10</t>
  </si>
  <si>
    <t>Type of non-resettable circuit-breaker operation counter offered</t>
  </si>
  <si>
    <t>- Instructions for mechanically tripping and closing the circuit-breaker</t>
  </si>
  <si>
    <t>18.11</t>
  </si>
  <si>
    <t>19</t>
  </si>
  <si>
    <t>Labels and colour coding</t>
  </si>
  <si>
    <t>5.17</t>
  </si>
  <si>
    <t>19.1</t>
  </si>
  <si>
    <t>5.17.1.2</t>
  </si>
  <si>
    <t>19.2</t>
  </si>
  <si>
    <t>Warning labels</t>
  </si>
  <si>
    <t>19.3</t>
  </si>
  <si>
    <t>19.4</t>
  </si>
  <si>
    <t>5.17.2.1</t>
  </si>
  <si>
    <t>19.5</t>
  </si>
  <si>
    <t>5.17.2.2</t>
  </si>
  <si>
    <t>5.17.3</t>
  </si>
  <si>
    <t>19.6</t>
  </si>
  <si>
    <t>19.7</t>
  </si>
  <si>
    <t>19.8</t>
  </si>
  <si>
    <t>19.9</t>
  </si>
  <si>
    <t>19.10</t>
  </si>
  <si>
    <t>Main circuit and switchboard designation labels</t>
  </si>
  <si>
    <t>19.11</t>
  </si>
  <si>
    <t>19.12</t>
  </si>
  <si>
    <t>19.13</t>
  </si>
  <si>
    <t>19.14</t>
  </si>
  <si>
    <t>&gt; 50</t>
  </si>
  <si>
    <t>&gt; 400</t>
  </si>
  <si>
    <t>Front (not on removable doors)</t>
  </si>
  <si>
    <t>Front and rear of panels (not on removable doors/covers)</t>
  </si>
  <si>
    <t>5.17.3.3</t>
  </si>
  <si>
    <t>5.17.3.3/4</t>
  </si>
  <si>
    <t>Operating labels</t>
  </si>
  <si>
    <t>5.17.4</t>
  </si>
  <si>
    <t>19.15</t>
  </si>
  <si>
    <t>19.16</t>
  </si>
  <si>
    <t>19.17</t>
  </si>
  <si>
    <t>5.17.4.1</t>
  </si>
  <si>
    <t>5.17.4.2</t>
  </si>
  <si>
    <t>19.18</t>
  </si>
  <si>
    <t>19.19</t>
  </si>
  <si>
    <t>Function labels</t>
  </si>
  <si>
    <t>5.17.5</t>
  </si>
  <si>
    <t>19.20</t>
  </si>
  <si>
    <t>19.21</t>
  </si>
  <si>
    <t>5.17.5.1</t>
  </si>
  <si>
    <t>5.17.5.2</t>
  </si>
  <si>
    <t>5.17.6</t>
  </si>
  <si>
    <t>19.22</t>
  </si>
  <si>
    <t>19.23</t>
  </si>
  <si>
    <t>Panel colour coding</t>
  </si>
  <si>
    <t>5.17.6.1</t>
  </si>
  <si>
    <t>5.17.6.2</t>
  </si>
  <si>
    <t>Light grey</t>
  </si>
  <si>
    <t>panel colour</t>
  </si>
  <si>
    <t>Spectrum Orange</t>
  </si>
  <si>
    <t>Signal Red</t>
  </si>
  <si>
    <t>Cloud Grey</t>
  </si>
  <si>
    <t>20</t>
  </si>
  <si>
    <t>5.18</t>
  </si>
  <si>
    <t>CT specification (drawing number)</t>
  </si>
  <si>
    <t>4.18</t>
  </si>
  <si>
    <t>- Circuit-breaker manufacturer</t>
  </si>
  <si>
    <t>- Stored energy operation for circuit-breaker mechanism</t>
  </si>
  <si>
    <t>P core ratios</t>
  </si>
  <si>
    <t>M core ratios</t>
  </si>
  <si>
    <t>M core class</t>
  </si>
  <si>
    <t>M core burden</t>
  </si>
  <si>
    <t>1/200/400/600/800</t>
  </si>
  <si>
    <t>c) ratios</t>
  </si>
  <si>
    <t>d) ratios</t>
  </si>
  <si>
    <t>c) burden</t>
  </si>
  <si>
    <t>400/800/1200/1600/2000/2400/1</t>
  </si>
  <si>
    <t>200/400/600/800/1</t>
  </si>
  <si>
    <t>0,5 / 0,2 / 0,2 / 0,2/10P10</t>
  </si>
  <si>
    <t>0,2 / 0,2 / 0,2 / 0,2/10P10 / 0,2 / 0,2</t>
  </si>
  <si>
    <t>20.8</t>
  </si>
  <si>
    <t>20.9</t>
  </si>
  <si>
    <t>20.10</t>
  </si>
  <si>
    <t>20.11</t>
  </si>
  <si>
    <t>NOTE  Measurement cores to be dual rated on specified ratios</t>
  </si>
  <si>
    <t>Measurement current transformers:</t>
  </si>
  <si>
    <t>5.18.2</t>
  </si>
  <si>
    <t>Rated short-time withstand current</t>
  </si>
  <si>
    <t>Position relative to the circuit-breaker</t>
  </si>
  <si>
    <t>5.19</t>
  </si>
  <si>
    <t>21</t>
  </si>
  <si>
    <t>21.1</t>
  </si>
  <si>
    <t>21.2</t>
  </si>
  <si>
    <t>21.3</t>
  </si>
  <si>
    <t>5.19.2</t>
  </si>
  <si>
    <t>5.19.1</t>
  </si>
  <si>
    <t>5.19.3</t>
  </si>
  <si>
    <t>5.19.4</t>
  </si>
  <si>
    <t>5.18.1</t>
  </si>
  <si>
    <t>20.5</t>
  </si>
  <si>
    <t>5.18.3</t>
  </si>
  <si>
    <t>Terminal numbering</t>
  </si>
  <si>
    <t>20.6</t>
  </si>
  <si>
    <t>20.7</t>
  </si>
  <si>
    <t>20.12</t>
  </si>
  <si>
    <t>5.19.7</t>
  </si>
  <si>
    <t>a) ratio</t>
  </si>
  <si>
    <t>d) voltage factor</t>
  </si>
  <si>
    <t>Circuit-breaker critical current tests (where applicable) (IEC 62271-100 6.107)</t>
  </si>
  <si>
    <t>Circuit-breaker double earth fault tests (IEC 62271-100 6.108)</t>
  </si>
  <si>
    <t>Circuit-breaker out-of-phase making and breaking tests (applicable if an out-of-phase rating is assigned) (IEC 62271-100 6.110)</t>
  </si>
  <si>
    <t>Circuit-breaker capacitive current switching tests (applicable if an out-of-phase rating is assigned) (IEC 62271-100 6.111.5 )</t>
  </si>
  <si>
    <t>Circuit-breaker electrical endurance tests (IEC 62271-100 6.112)</t>
  </si>
  <si>
    <t>Circuit-breaker mechanical operation (IEC 62271-200 6.102 and IEC 62271-100 6.101.2.1 - 6.101.2.3)</t>
  </si>
  <si>
    <t>Circuit-breaker extended mechanical endurance tests (for class M2 circuit-breakers) (IEC 62271-100 6.101.2.4)</t>
  </si>
  <si>
    <t>Tightness test (IEC 62271-200 6.8)</t>
  </si>
  <si>
    <t>5.23</t>
  </si>
  <si>
    <t>- Transport, storage, installation, operating and maintenance manuals</t>
  </si>
  <si>
    <t>- generic routine test certificates for each panel type</t>
  </si>
  <si>
    <t>- transport, storage, installation, operating and maintenance manuals</t>
  </si>
  <si>
    <t>- training material</t>
  </si>
  <si>
    <t>26.17</t>
  </si>
  <si>
    <t>26.18</t>
  </si>
  <si>
    <t>21.5</t>
  </si>
  <si>
    <t>21.6</t>
  </si>
  <si>
    <t>21.7</t>
  </si>
  <si>
    <t>21.8</t>
  </si>
  <si>
    <t>21.9</t>
  </si>
  <si>
    <t>21.10</t>
  </si>
  <si>
    <t>21.11</t>
  </si>
  <si>
    <t>21.12</t>
  </si>
  <si>
    <t>21.13</t>
  </si>
  <si>
    <t>21.14</t>
  </si>
  <si>
    <t>5.20</t>
  </si>
  <si>
    <t>9.11</t>
  </si>
  <si>
    <t>5.7.2.4</t>
  </si>
  <si>
    <t>Auxiliary power supplies:</t>
  </si>
  <si>
    <t>22</t>
  </si>
  <si>
    <t>22.9</t>
  </si>
  <si>
    <t>22.10</t>
  </si>
  <si>
    <t>22.11</t>
  </si>
  <si>
    <t>22.12</t>
  </si>
  <si>
    <t>22.13</t>
  </si>
  <si>
    <t>22.14</t>
  </si>
  <si>
    <t>22.15</t>
  </si>
  <si>
    <t>22.16</t>
  </si>
  <si>
    <t>Circuit-breaker closing control circuit:</t>
  </si>
  <si>
    <t>Ω</t>
  </si>
  <si>
    <t>Circuit-breaker tripping control circuit:</t>
  </si>
  <si>
    <t>Circuit-breaker equipped with anti-pumping circuitry</t>
  </si>
  <si>
    <t>22.17</t>
  </si>
  <si>
    <t>22.18</t>
  </si>
  <si>
    <t>22.19</t>
  </si>
  <si>
    <t>22.20</t>
  </si>
  <si>
    <t>22.21</t>
  </si>
  <si>
    <t>22.22</t>
  </si>
  <si>
    <t>22.23</t>
  </si>
  <si>
    <t>22.24</t>
  </si>
  <si>
    <t>22.25</t>
  </si>
  <si>
    <t>22.26</t>
  </si>
  <si>
    <t>22.27</t>
  </si>
  <si>
    <t>22.28</t>
  </si>
  <si>
    <t>22.29</t>
  </si>
  <si>
    <t>22.30</t>
  </si>
  <si>
    <t xml:space="preserve">  - a.c. and d.c. supply current</t>
  </si>
  <si>
    <t>22.31</t>
  </si>
  <si>
    <t>22.32</t>
  </si>
  <si>
    <t>22.33</t>
  </si>
  <si>
    <t>22.34</t>
  </si>
  <si>
    <t>22.35</t>
  </si>
  <si>
    <t>22.36</t>
  </si>
  <si>
    <t>22.37</t>
  </si>
  <si>
    <t>22.38</t>
  </si>
  <si>
    <t>22.39</t>
  </si>
  <si>
    <t>22.40</t>
  </si>
  <si>
    <t>22.41</t>
  </si>
  <si>
    <t>22.42</t>
  </si>
  <si>
    <t>22.43</t>
  </si>
  <si>
    <t>22.44</t>
  </si>
  <si>
    <r>
      <t>≥</t>
    </r>
    <r>
      <rPr>
        <sz val="10"/>
        <rFont val="Arial"/>
        <family val="2"/>
      </rPr>
      <t xml:space="preserve"> 6</t>
    </r>
  </si>
  <si>
    <t>Lugs (insulated hook blade type)</t>
  </si>
  <si>
    <t>22.45</t>
  </si>
  <si>
    <t>22.46</t>
  </si>
  <si>
    <t>22.47</t>
  </si>
  <si>
    <t>22.48</t>
  </si>
  <si>
    <t>22.49</t>
  </si>
  <si>
    <t>22.72</t>
  </si>
  <si>
    <t>22.73</t>
  </si>
  <si>
    <t>22.74</t>
  </si>
  <si>
    <t>22.75</t>
  </si>
  <si>
    <t>22.76</t>
  </si>
  <si>
    <t>23</t>
  </si>
  <si>
    <t>5.21</t>
  </si>
  <si>
    <t>23.1</t>
  </si>
  <si>
    <t>5.20.1</t>
  </si>
  <si>
    <t>5.21.1</t>
  </si>
  <si>
    <t>24</t>
  </si>
  <si>
    <t>5.22</t>
  </si>
  <si>
    <t>Nameplates</t>
  </si>
  <si>
    <t>Nameplates provided for the following:</t>
  </si>
  <si>
    <t>5.22.1</t>
  </si>
  <si>
    <t>24.1</t>
  </si>
  <si>
    <t>24.2</t>
  </si>
  <si>
    <t>24.3</t>
  </si>
  <si>
    <t>24.4</t>
  </si>
  <si>
    <t>5.22.3</t>
  </si>
  <si>
    <t>24.5</t>
  </si>
  <si>
    <t>20.13</t>
  </si>
  <si>
    <t>20.14</t>
  </si>
  <si>
    <t>20.2</t>
  </si>
  <si>
    <t>20.3</t>
  </si>
  <si>
    <t>20.4</t>
  </si>
  <si>
    <t>Make (manufacturer) of CT offered</t>
  </si>
  <si>
    <t>5.19.6</t>
  </si>
  <si>
    <t>Terminal blocks and terminal strips:</t>
  </si>
  <si>
    <t>- Number of spare terminals provided</t>
  </si>
  <si>
    <t>- Terminal blocks to DSP 34-253, screw clamp, spring-loaded insertion type</t>
  </si>
  <si>
    <t>- Terminal block width offered</t>
  </si>
  <si>
    <t>- Make of terminal block offered</t>
  </si>
  <si>
    <t>- Control and other auxiliary wires</t>
  </si>
  <si>
    <t>- Minimum number of strands</t>
  </si>
  <si>
    <t>- Earth wires</t>
  </si>
  <si>
    <t>- All other wires</t>
  </si>
  <si>
    <t>LV MCBs:</t>
  </si>
  <si>
    <t>- Make and type offered</t>
  </si>
  <si>
    <r>
      <t>- I</t>
    </r>
    <r>
      <rPr>
        <vertAlign val="subscript"/>
        <sz val="10"/>
        <rFont val="Arial"/>
        <family val="2"/>
      </rPr>
      <t>CU</t>
    </r>
  </si>
  <si>
    <r>
      <t>- I</t>
    </r>
    <r>
      <rPr>
        <vertAlign val="subscript"/>
        <sz val="10"/>
        <rFont val="Arial"/>
        <family val="2"/>
      </rPr>
      <t>CS</t>
    </r>
  </si>
  <si>
    <t>- Max service voltage</t>
  </si>
  <si>
    <t>- d.c. MCB rated voltage</t>
  </si>
  <si>
    <t>- Location</t>
  </si>
  <si>
    <t>- Provision</t>
  </si>
  <si>
    <t>- Peak power requirement/panel (max)</t>
  </si>
  <si>
    <t>- Standby power requirements/panel</t>
  </si>
  <si>
    <t>- d.c. supply voltage range of operation</t>
  </si>
  <si>
    <t>Standard tools available for minor maintenance (provide list on separate sheet provided)</t>
  </si>
  <si>
    <t>Circuit-breaker short-circuit making and breaking capacities (IEC 62271-200 6.101 and IEC 62271-100 6.102 to 6.106)</t>
  </si>
  <si>
    <t>27.3</t>
  </si>
  <si>
    <t>5.25</t>
  </si>
  <si>
    <t>Specialised tools available for major maintenance purposes (provide list on separate sheet provided)</t>
  </si>
  <si>
    <t>Standard tools required for minor maintenance purposes (provide detailed list)</t>
  </si>
  <si>
    <t>Specialised tools required for major (overhaul) maintenance purposes (provide detailed list)</t>
  </si>
  <si>
    <t>Spares recommended by manufacturer for minor maintenance (provide detailed list)</t>
  </si>
  <si>
    <t>Spares recommended by manufacturer for major maintenance (provide detailed list)</t>
  </si>
  <si>
    <t>Spares recommended by manufacturer for breakdown maintenance (provide detailed list)</t>
  </si>
  <si>
    <t>T.3c)</t>
  </si>
  <si>
    <t>T.3d)</t>
  </si>
  <si>
    <t xml:space="preserve">- method offered for protection against continual motor running (over-run) </t>
  </si>
  <si>
    <t>- number of spare contacts of SLS provided</t>
  </si>
  <si>
    <t>- number of close coils required</t>
  </si>
  <si>
    <t xml:space="preserve">- close coil current </t>
  </si>
  <si>
    <r>
      <t>- close coil resitance @ 20</t>
    </r>
    <r>
      <rPr>
        <vertAlign val="superscript"/>
        <sz val="10"/>
        <rFont val="Arial"/>
        <family val="2"/>
      </rPr>
      <t>0</t>
    </r>
    <r>
      <rPr>
        <sz val="10"/>
        <rFont val="Arial"/>
        <family val="2"/>
      </rPr>
      <t>C</t>
    </r>
  </si>
  <si>
    <t>- number of trip coils required</t>
  </si>
  <si>
    <t>- physically and electrically separate trip control circuits</t>
  </si>
  <si>
    <t>- trip circuit supervision</t>
  </si>
  <si>
    <t>- trip coils rated to carry 20mA d.c. continuously</t>
  </si>
  <si>
    <t xml:space="preserve">- trip coil current </t>
  </si>
  <si>
    <r>
      <t>- trip coil resitance @ 20</t>
    </r>
    <r>
      <rPr>
        <vertAlign val="superscript"/>
        <sz val="10"/>
        <rFont val="Arial"/>
        <family val="2"/>
      </rPr>
      <t>0</t>
    </r>
    <r>
      <rPr>
        <sz val="10"/>
        <rFont val="Arial"/>
        <family val="2"/>
      </rPr>
      <t>C</t>
    </r>
  </si>
  <si>
    <t>Auxiliary contacts provided (spare for Eskom use):</t>
  </si>
  <si>
    <t xml:space="preserve">    Duty rating</t>
  </si>
  <si>
    <t>- "NO STEP" on top of panels</t>
  </si>
  <si>
    <t>- Labels provided for all panels and busbar sections</t>
  </si>
  <si>
    <t>- Width (min.)</t>
  </si>
  <si>
    <t>- Height (min.)</t>
  </si>
  <si>
    <t>- Main circuit designation label positions</t>
  </si>
  <si>
    <t>- Label provided for switchboard</t>
  </si>
  <si>
    <t>- Switchboard designation label position</t>
  </si>
  <si>
    <t>- Switchgear tool cabinet</t>
  </si>
  <si>
    <t>- Function labels provided to identify all LV equipment</t>
  </si>
  <si>
    <t>- Tool cabinet</t>
  </si>
  <si>
    <t>Busbar earthed status indication (incomer panels only)</t>
  </si>
  <si>
    <t>Cable earthed (incomer/feeder panels only)</t>
  </si>
  <si>
    <t>- circuit-breaker contact status (open/closed)</t>
  </si>
  <si>
    <t>- Closed position: “I” in white lettering on a red background</t>
  </si>
  <si>
    <t>- Open position: “O” in white lettering on a green background</t>
  </si>
  <si>
    <t>- Earthed position: (the earth symbol) in black on a yellow background</t>
  </si>
  <si>
    <t>25</t>
  </si>
  <si>
    <t>25.1</t>
  </si>
  <si>
    <t>25.2</t>
  </si>
  <si>
    <t>25.3</t>
  </si>
  <si>
    <t>25.5</t>
  </si>
  <si>
    <t>25.4</t>
  </si>
  <si>
    <t>5.23.1</t>
  </si>
  <si>
    <t>5.22.5/6</t>
  </si>
  <si>
    <t>- hand-held remote control unit</t>
  </si>
  <si>
    <t>5.23.2</t>
  </si>
  <si>
    <t>5.23.3</t>
  </si>
  <si>
    <t>- full set of operating tools (provide list on separate sheet provided)</t>
  </si>
  <si>
    <t>1 set per switchboard</t>
  </si>
  <si>
    <t xml:space="preserve">- wall-mounted steel tool cabinet </t>
  </si>
  <si>
    <t>1 per switchboard</t>
  </si>
  <si>
    <t>Tools to be supplied with switchboard (minimum requirements):</t>
  </si>
  <si>
    <t>26</t>
  </si>
  <si>
    <t>5.24</t>
  </si>
  <si>
    <t>Documentation</t>
  </si>
  <si>
    <t>26.1</t>
  </si>
  <si>
    <t>5.24.1</t>
  </si>
  <si>
    <t>Documentation to be supplied with tender:</t>
  </si>
  <si>
    <t xml:space="preserve">- Generic auxiliary and control circuit schematic wiring diagrams for each panel type </t>
  </si>
  <si>
    <t>26.2</t>
  </si>
  <si>
    <t>26.3</t>
  </si>
  <si>
    <t>26.4</t>
  </si>
  <si>
    <t>26.5</t>
  </si>
  <si>
    <t>26.6</t>
  </si>
  <si>
    <t>- list of all operating tools for each type of switchgear panel offered (provide list on separate sheet provided)</t>
  </si>
  <si>
    <t>26.7</t>
  </si>
  <si>
    <t>26.8</t>
  </si>
  <si>
    <t>26.9</t>
  </si>
  <si>
    <t>26.10</t>
  </si>
  <si>
    <t>Note:  All tender documentation to be provided in electronic
          format.</t>
  </si>
  <si>
    <t>26.11</t>
  </si>
  <si>
    <t>26.12</t>
  </si>
  <si>
    <t>26.13</t>
  </si>
  <si>
    <t>26.14</t>
  </si>
  <si>
    <t>26.15</t>
  </si>
  <si>
    <t>Documentation to be supplied with each switchboard:</t>
  </si>
  <si>
    <t>5.24.2</t>
  </si>
  <si>
    <t>- Schematic wiring diagram for each panel type</t>
  </si>
  <si>
    <t>27</t>
  </si>
  <si>
    <t>28</t>
  </si>
  <si>
    <t>5.11.1.10</t>
  </si>
  <si>
    <t>Tools and spares</t>
  </si>
  <si>
    <t>5.23 / 8.3</t>
  </si>
  <si>
    <t>25.6</t>
  </si>
  <si>
    <t>Top entry removable brass/aluminium LV gland plates provided with holes and knock-outs/grommets</t>
  </si>
  <si>
    <t>Spares to be supplied with switchboard (where applicable)</t>
  </si>
  <si>
    <t>EA</t>
  </si>
  <si>
    <t>27.1</t>
  </si>
  <si>
    <t>27.2</t>
  </si>
  <si>
    <t>28.1</t>
  </si>
  <si>
    <t>T.5</t>
  </si>
  <si>
    <t>GA drawing number &amp; revision number</t>
  </si>
  <si>
    <t>Schematic wiring diagram drawing number &amp; revision number</t>
  </si>
  <si>
    <t xml:space="preserve">Equipment insulation level (IEC 62271-200 6.2) </t>
  </si>
  <si>
    <t xml:space="preserve">Temperature rise and measurement of resistance of circuits (IEC 62271-200 6.5 &amp; 6.4) </t>
  </si>
  <si>
    <t>Current withstand – main circuit (IEC 62271-200 6.6)</t>
  </si>
  <si>
    <r>
      <rPr>
        <sz val="10"/>
        <rFont val="Symbol"/>
        <family val="1"/>
        <charset val="2"/>
      </rPr>
      <t>W</t>
    </r>
    <r>
      <rPr>
        <sz val="10"/>
        <rFont val="Arial"/>
        <family val="2"/>
      </rPr>
      <t xml:space="preserve"> Sec</t>
    </r>
  </si>
  <si>
    <t>FIXED PATTERN INDOOR PRIMARY SWITCHGEAR</t>
  </si>
  <si>
    <t xml:space="preserve">TECHNICAL SCHEDULES A &amp; B FOR 11 kV, 22 kV and 33 kV </t>
  </si>
  <si>
    <t>C class  (cable and line)</t>
  </si>
  <si>
    <t>C class (cap bank)</t>
  </si>
  <si>
    <t>Number of mechanical operations for disconnector</t>
  </si>
  <si>
    <t>Disconnector mechanical endurance class</t>
  </si>
  <si>
    <t>Fixed pattern metal-enclosed switchgear compliant to SANS 62271-200</t>
  </si>
  <si>
    <t>2.43</t>
  </si>
  <si>
    <t>2.44</t>
  </si>
  <si>
    <t>Insulating medium</t>
  </si>
  <si>
    <t>&gt; 30 years</t>
  </si>
  <si>
    <t>years</t>
  </si>
  <si>
    <t>5.2.8</t>
  </si>
  <si>
    <t>5.2.9</t>
  </si>
  <si>
    <t>- Circuit-breaker mechanisms maintenance free in accordance with the electrical and mechanical endurance class</t>
  </si>
  <si>
    <t>5.2.10</t>
  </si>
  <si>
    <t>5.2.11</t>
  </si>
  <si>
    <t>4.20</t>
  </si>
  <si>
    <t>4.21</t>
  </si>
  <si>
    <t>Circuit-breaker compliant to SANS 62271-100</t>
  </si>
  <si>
    <t>- Circuit-breaker pole operation</t>
  </si>
  <si>
    <t>Disconnector compliant to SANS 62271-102</t>
  </si>
  <si>
    <t>Maintenance-free period for high-voltage parts</t>
  </si>
  <si>
    <t>Single  / double busbar design</t>
  </si>
  <si>
    <t>Single</t>
  </si>
  <si>
    <t>Non-accessible</t>
  </si>
  <si>
    <t>5.3.4</t>
  </si>
  <si>
    <t>5.3.2 / 
5.3.3</t>
  </si>
  <si>
    <t>Accessibility to cable compartments (where applicable)</t>
  </si>
  <si>
    <t>Accessibility to non-GIS compartments</t>
  </si>
  <si>
    <t>Accessibility to GIS circuit-breaker, busbar/disconnector compartments</t>
  </si>
  <si>
    <t>Partitioning class</t>
  </si>
  <si>
    <t>5.6.5</t>
  </si>
  <si>
    <t>8.6</t>
  </si>
  <si>
    <t>Yes/No</t>
  </si>
  <si>
    <t>Method used for cable earthing (incomer/feeder panels)</t>
  </si>
  <si>
    <t>Method used for busbar earthing</t>
  </si>
  <si>
    <t>Panel used for busbar earthing</t>
  </si>
  <si>
    <t>Isolation of circuit-breaker trip circuit when in earthing (EARTH) position (where applicable)</t>
  </si>
  <si>
    <t>cable earthing switch</t>
  </si>
  <si>
    <t>Integral earthing switches compliant to SANS 62271-102 with independent unlatched operation (where applicable)</t>
  </si>
  <si>
    <t>Bus-section circuit-breaker &amp; disconnector / earthing switch</t>
  </si>
  <si>
    <t>Class E1</t>
  </si>
  <si>
    <t>Positive mechanical interlocking provided in accordance with 5.7.2.8</t>
  </si>
  <si>
    <t>9.12</t>
  </si>
  <si>
    <t>- functional unit in the OFF, ON and EARTH positions;</t>
  </si>
  <si>
    <t>5.8.3</t>
  </si>
  <si>
    <t>Padlocking facilities provided to prevent the selection of the ON position while permitting operation from OFF to EARTH or from the EARTH to OFF positions</t>
  </si>
  <si>
    <t>Padlocking facility diameter for padlock shackle</t>
  </si>
  <si>
    <t>Stand-off hand-held remote control unit for remote switching of circuit-breakers</t>
  </si>
  <si>
    <t>Circuit-breaker local mechanical closing facility disabled (when disconnector CLOSED)</t>
  </si>
  <si>
    <t>Motorised disconnectors</t>
  </si>
  <si>
    <t>Disconnector motorised using an integral internal motor</t>
  </si>
  <si>
    <t>Continuous power rating of motorised disconnector</t>
  </si>
  <si>
    <t>Total operating time</t>
  </si>
  <si>
    <t>Motorised disconnector circuit and wiring requirements</t>
  </si>
  <si>
    <t>Manual operation of disconnector possible in the event of an emergency</t>
  </si>
  <si>
    <t>Customised steel support frame/base provided for switchboad in accordance with 5.11.1.5</t>
  </si>
  <si>
    <t>Access to cable compartment and trench (rear / front)</t>
  </si>
  <si>
    <t>Removable custom-fitted non-slip steel trench cover plates provided in accordance with 5.11.1.7</t>
  </si>
  <si>
    <t>5.11.1.7</t>
  </si>
  <si>
    <t>Provision for bolting the steel support frame/base to the concrete floor in accordance with 5.11.1.8</t>
  </si>
  <si>
    <t>5.11.1.11</t>
  </si>
  <si>
    <t>5.11.1.12</t>
  </si>
  <si>
    <t>Lifting eyes provided in accordance with 5.11.1.12</t>
  </si>
  <si>
    <r>
      <t xml:space="preserve">  - minimum distance required above switchgear to switch room ceiling (d</t>
    </r>
    <r>
      <rPr>
        <vertAlign val="subscript"/>
        <sz val="10"/>
        <rFont val="Arial"/>
        <family val="2"/>
      </rPr>
      <t>C</t>
    </r>
    <r>
      <rPr>
        <sz val="10"/>
        <rFont val="Arial"/>
        <family val="2"/>
      </rPr>
      <t>)</t>
    </r>
  </si>
  <si>
    <t>5.11.2.3</t>
  </si>
  <si>
    <t>Positioning of terminal strips in accordance with 5.11.2.3</t>
  </si>
  <si>
    <t>- gas-filled compartments (where applicable)</t>
  </si>
  <si>
    <t>IP65</t>
  </si>
  <si>
    <t>Busbars</t>
  </si>
  <si>
    <t>- solid-dielectric busbar systems fully screened (where applicable)</t>
  </si>
  <si>
    <t>- details regarding procedure to be followed to remove and replace faulty panel provided with tender documentation</t>
  </si>
  <si>
    <t xml:space="preserve">- Corrosion protection system applied for all exposed bolts, nuts and washers  </t>
  </si>
  <si>
    <t xml:space="preserve">- Corrosion protection system applied for all exposed joints and tees in earthing busbars and busbar connections   </t>
  </si>
  <si>
    <t>Corrosion protection of exposed metal parts</t>
  </si>
  <si>
    <t>- Detailed specification number for exposed sheet metal (DSP 34-1658)</t>
  </si>
  <si>
    <t>Insulation requirements</t>
  </si>
  <si>
    <t>5.12.1.1</t>
  </si>
  <si>
    <t>- Bushings for cable connections in accordance with NRS 012</t>
  </si>
  <si>
    <t>5.12.1.2</t>
  </si>
  <si>
    <t>Requirements for gas-filled compartments (where applicable)</t>
  </si>
  <si>
    <t>5.12.2.1</t>
  </si>
  <si>
    <t>- Gas-filled compartments factory gas-filled and tested with new gas at rated filling pressure</t>
  </si>
  <si>
    <t>5.12.2.2</t>
  </si>
  <si>
    <t xml:space="preserve">- period to replenishment of the gas </t>
  </si>
  <si>
    <t>&gt; 30</t>
  </si>
  <si>
    <t xml:space="preserve">- maximum gas leakage rate per year </t>
  </si>
  <si>
    <t>- quantity of gas required for busbar compartment</t>
  </si>
  <si>
    <t>- SF6 gas in accordance with IEC 60376 and certificate provided</t>
  </si>
  <si>
    <t>5.12.2.3 &amp; 5.12.2.4</t>
  </si>
  <si>
    <t>DILO DN8</t>
  </si>
  <si>
    <t>- gas filling/evacuation point provided for each gas-filled compartment</t>
  </si>
  <si>
    <t>5.12.2.5</t>
  </si>
  <si>
    <t xml:space="preserve">- gas filling/evacuation point and gas pressure gauge separated </t>
  </si>
  <si>
    <t>- gauge responding to gas density and indicating pressure compensated for temperature provided for each gas-filled compartment</t>
  </si>
  <si>
    <t>- type of gauge offered</t>
  </si>
  <si>
    <t>- non-return valves fitted on all DN8 fittings</t>
  </si>
  <si>
    <t>- service offered to recover and replenish SF6 gas after switchgear service life</t>
  </si>
  <si>
    <t>14.11</t>
  </si>
  <si>
    <t>14.12</t>
  </si>
  <si>
    <t>14.13</t>
  </si>
  <si>
    <t>14.14</t>
  </si>
  <si>
    <t>14.15</t>
  </si>
  <si>
    <t>14.16</t>
  </si>
  <si>
    <t>5.12.2.8</t>
  </si>
  <si>
    <t>28/32</t>
  </si>
  <si>
    <t>95/110</t>
  </si>
  <si>
    <t>31,5</t>
  </si>
  <si>
    <t>78,75</t>
  </si>
  <si>
    <t xml:space="preserve"> - range of cable support clamp (cable diameter)</t>
  </si>
  <si>
    <t>cable clamp range (mm)</t>
  </si>
  <si>
    <t>50-75</t>
  </si>
  <si>
    <t>25-55</t>
  </si>
  <si>
    <t>5.13.5/ 5.13.6</t>
  </si>
  <si>
    <t>5.13.7</t>
  </si>
  <si>
    <t>5.13.8</t>
  </si>
  <si>
    <t>Vermin proofing plate thickness offered (min) - if applicable</t>
  </si>
  <si>
    <t>Vermin proofing plate material offered - if applicable</t>
  </si>
  <si>
    <t>5.13.9</t>
  </si>
  <si>
    <t>Copper earthing bar provided in cable compartment in accordance with 5.13.9</t>
  </si>
  <si>
    <t>Cable test facilities</t>
  </si>
  <si>
    <t>Type of cable test facility offered</t>
  </si>
  <si>
    <t>Cable test facility mechanically interlock with earthing switch</t>
  </si>
  <si>
    <t>5.15.2</t>
  </si>
  <si>
    <t>Test plugs offered</t>
  </si>
  <si>
    <t>Mimic indicating the ON, OFF and EARTH positions of the main circuit provided</t>
  </si>
  <si>
    <t xml:space="preserve">- mimic located on front of panel </t>
  </si>
  <si>
    <t>- type of mimic offered</t>
  </si>
  <si>
    <t>Mechanical / electrical</t>
  </si>
  <si>
    <t>- “lamp/display check” push-button function provided</t>
  </si>
  <si>
    <t>5.16.1.3</t>
  </si>
  <si>
    <t>Definite mechanical position / status indications coupled directly to operating mechanism / drive shaft provided for:</t>
  </si>
  <si>
    <t>- disconnector status (open/closed/earthing – as and where applicable)</t>
  </si>
  <si>
    <t>- earthing status (open/earthed)</t>
  </si>
  <si>
    <t>5.16.1.4</t>
  </si>
  <si>
    <t>Switching device mechanical position indication</t>
  </si>
  <si>
    <t>5.16.1.6</t>
  </si>
  <si>
    <t>Circuit-breaker closing spring status indicated by "SPRING CHARGED" and "SPRING DISCHARGED"</t>
  </si>
  <si>
    <t>5.16.1.7</t>
  </si>
  <si>
    <t>Position / status indicators visible from in front of the switchgear panel with the doors closed</t>
  </si>
  <si>
    <t>5.16.1.8</t>
  </si>
  <si>
    <t>Cable live indication provided</t>
  </si>
  <si>
    <t>5.16.3</t>
  </si>
  <si>
    <t>Gas density gauges provided for each gas-filled compartment (where applicable)</t>
  </si>
  <si>
    <t>18.12</t>
  </si>
  <si>
    <t>18.13</t>
  </si>
  <si>
    <t>18.14</t>
  </si>
  <si>
    <t>18.15</t>
  </si>
  <si>
    <t>18.16</t>
  </si>
  <si>
    <t>Method of attachment of labels</t>
  </si>
  <si>
    <t>5.17.2</t>
  </si>
  <si>
    <t>5.17.1.3/4</t>
  </si>
  <si>
    <t>5.17.3.5</t>
  </si>
  <si>
    <t>- Instructions for charging circuit-breaker closing spring</t>
  </si>
  <si>
    <t>- Cable test facilities</t>
  </si>
  <si>
    <t>- Instructions for earthing the cable and busbar (as applicable)</t>
  </si>
  <si>
    <t>5.17.4.4</t>
  </si>
  <si>
    <t>5.17.4.5</t>
  </si>
  <si>
    <t>- LV compartment door</t>
  </si>
  <si>
    <t xml:space="preserve">Type of CT offered </t>
  </si>
  <si>
    <t>Location of CTs</t>
  </si>
  <si>
    <t>20.15</t>
  </si>
  <si>
    <t>5.18.6</t>
  </si>
  <si>
    <t>Block type CTs fully screened (if applicable)</t>
  </si>
  <si>
    <t>5.18.7</t>
  </si>
  <si>
    <t>5.18.10</t>
  </si>
  <si>
    <t>Busbar connected dry-type VTs provided for each bus-section</t>
  </si>
  <si>
    <t>D-DT-5408</t>
  </si>
  <si>
    <t>Protection provided to prevent ferro-resonance</t>
  </si>
  <si>
    <t>5.19.5</t>
  </si>
  <si>
    <t>5.19.8</t>
  </si>
  <si>
    <t>Vnom/√3 kV / 110/√3 V</t>
  </si>
  <si>
    <t>3P/0,2</t>
  </si>
  <si>
    <t>1,2 continuous / 1,9 for 30 s</t>
  </si>
  <si>
    <t>e) short-circuit impedance</t>
  </si>
  <si>
    <t>Voltage transformer specification:</t>
  </si>
  <si>
    <t>Internal arc detection protection scheme required</t>
  </si>
  <si>
    <t>Arc detection protection system equipment</t>
  </si>
  <si>
    <t>Motorised disconnector circuit:</t>
  </si>
  <si>
    <t>- total time taken to operate disconnector</t>
  </si>
  <si>
    <t>Circuit-breaker opened, spring discharged, busbar and cable earthing switches not applied, disconnector in closed position</t>
  </si>
  <si>
    <t>Low gas alarm contacts</t>
  </si>
  <si>
    <t>Low gas block contacts</t>
  </si>
  <si>
    <t>Disconnector open position</t>
  </si>
  <si>
    <t>Disconnector closed position</t>
  </si>
  <si>
    <t>- CT, VT and motor control circuit wires</t>
  </si>
  <si>
    <t>- CT and VT wires</t>
  </si>
  <si>
    <t>Duplicate nameplates provided in LV compartment for CTs and VT - where applicable</t>
  </si>
  <si>
    <t>- switchgear panel (IEC 62271-200)</t>
  </si>
  <si>
    <t>- CT (IEC 60044-1) - where applicable</t>
  </si>
  <si>
    <t>- VT (IEC 60044-2) - where applicable</t>
  </si>
  <si>
    <t>5.23.9</t>
  </si>
  <si>
    <t>5.23.10</t>
  </si>
  <si>
    <t>5.23.11 / 8.3</t>
  </si>
  <si>
    <t>5.23.12 / 8.3</t>
  </si>
  <si>
    <t>Disconnector operating and mechanical endurance tests (IEC 62271-200 6.102.1 and IEC 62271-102 6.102)</t>
  </si>
  <si>
    <t>ITT CANNON type CA 3102 A 14S-2 (or equiv)</t>
  </si>
  <si>
    <t>LV Compartment door - front</t>
  </si>
  <si>
    <t>C and D</t>
  </si>
  <si>
    <t>A and B</t>
  </si>
  <si>
    <t>SANS 61243-5</t>
  </si>
  <si>
    <t>D-DT-6259</t>
  </si>
  <si>
    <t>SWITCHGEAR:FP B/SECTION;11KV;2500A</t>
  </si>
  <si>
    <t>0574939</t>
  </si>
  <si>
    <t>SWITCHGEAR:FP FEEDER(B);11KV;630A</t>
  </si>
  <si>
    <t>0574937</t>
  </si>
  <si>
    <t>SWITCHGEAR:FP TFR;11KV;2500A;31.5KA</t>
  </si>
  <si>
    <t>0574936</t>
  </si>
  <si>
    <t>Clause of 240-56062704</t>
  </si>
  <si>
    <t>LSC2</t>
  </si>
  <si>
    <t>Panel country and address of origin</t>
  </si>
  <si>
    <t xml:space="preserve">Panel model/type and rating designation </t>
  </si>
  <si>
    <t>- Circuit-breaker country and address of origin</t>
  </si>
  <si>
    <t>- Circuit-breaker model/type and rating designation</t>
  </si>
  <si>
    <t>- Circuit-breaker interrupting technology (Vacuum only)</t>
  </si>
  <si>
    <t>Type of disconnector offered (e.g. three position)</t>
  </si>
  <si>
    <t>Internal arc absorbers / coolers are offered
NOTE: Only allowed if type tested</t>
  </si>
  <si>
    <t>mm^2</t>
  </si>
  <si>
    <t>Separate / segregated compartments required for:
NOTE:  Combined circuit-breaker and disconnector compartments will be accepted for 11 kV and 22 kV panels to allow more compact design configurations</t>
  </si>
  <si>
    <t xml:space="preserve">  - Busbar </t>
  </si>
  <si>
    <t xml:space="preserve">  - Disconnector </t>
  </si>
  <si>
    <t xml:space="preserve">  - Circuit-breaker</t>
  </si>
  <si>
    <t>Additional ducting required to achieve the IAC
NOTE: Only allowed if type tested</t>
  </si>
  <si>
    <t>240-56063705 and D-DT-5408</t>
  </si>
  <si>
    <t>5.10.5</t>
  </si>
  <si>
    <t>12.6</t>
  </si>
  <si>
    <t>Disconnector interlock to only allow disconnector operation when circuit breaker in open position</t>
  </si>
  <si>
    <t>All doors equipped with travel stops for open position</t>
  </si>
  <si>
    <t>Universal</t>
  </si>
  <si>
    <t>- Plug-in type busbar connection between each panel</t>
  </si>
  <si>
    <t>5.11.5.1</t>
  </si>
  <si>
    <t>5.11.5.2</t>
  </si>
  <si>
    <t>5.11.5.3</t>
  </si>
  <si>
    <t>5.11.5.4</t>
  </si>
  <si>
    <t>- quantity of gas required for circuit-breaker  compartment</t>
  </si>
  <si>
    <t>- gas density monitoring device (density switch) provided for each gas-filled compartment with contacts in accordance with 240-56063705</t>
  </si>
  <si>
    <t>- Electrical interlocks and alarms provided by the gas density monitoring device in accordance with 240-56063705</t>
  </si>
  <si>
    <t>Disconnector interlocked while cable test faciity in use</t>
  </si>
  <si>
    <t>5.15.5</t>
  </si>
  <si>
    <t>17.4</t>
  </si>
  <si>
    <t>- Actuator(s) for local opening and closing of the circuit-breaker (English, direction or position, and colour coding)</t>
  </si>
  <si>
    <t>- Function label text height (min)</t>
  </si>
  <si>
    <t>5.18.11</t>
  </si>
  <si>
    <t>20.16</t>
  </si>
  <si>
    <t>For bus section panels CT provided</t>
  </si>
  <si>
    <t>Auxiliary and control circuits (see 240-56063705 / D-DT-5408)</t>
  </si>
  <si>
    <t>Terminal strips in accordance with table 1 of 240-56063705 - located in LV compartment</t>
  </si>
  <si>
    <t>5.24.4</t>
  </si>
  <si>
    <t>26.19</t>
  </si>
  <si>
    <t>Units used in Republic of South Africa or Internationally</t>
  </si>
  <si>
    <t>South African or International Project reference list, service to Eskom</t>
  </si>
  <si>
    <t>Packaging in accordance with 240-56062704</t>
  </si>
  <si>
    <t>6.2.2 a)</t>
  </si>
  <si>
    <t>6.2.2 b)</t>
  </si>
  <si>
    <t>6.2.2 c)</t>
  </si>
  <si>
    <t>6.2.2 d)</t>
  </si>
  <si>
    <t>6.2.2 e)</t>
  </si>
  <si>
    <t>6.2.2 f)</t>
  </si>
  <si>
    <t>6.2.2 g)</t>
  </si>
  <si>
    <t>6.2.2 h)</t>
  </si>
  <si>
    <t>6.2.2 i)</t>
  </si>
  <si>
    <t>6.2.2 j)</t>
  </si>
  <si>
    <t>6.2.2 k)</t>
  </si>
  <si>
    <t>6.2.2 l)</t>
  </si>
  <si>
    <t>6.2.2 m)</t>
  </si>
  <si>
    <t>6.2.2 n)</t>
  </si>
  <si>
    <t>6.2.2 o)</t>
  </si>
  <si>
    <t>6.2.2 p)</t>
  </si>
  <si>
    <t>6.2.2 q)</t>
  </si>
  <si>
    <t>6.2.2 r)</t>
  </si>
  <si>
    <t>6.2.2 s)</t>
  </si>
  <si>
    <t>6.2.2 t)</t>
  </si>
  <si>
    <t>6.2.2 u)</t>
  </si>
  <si>
    <t>6.2.2 v)</t>
  </si>
  <si>
    <t>6.2.2 w)</t>
  </si>
  <si>
    <t>Test facility and date tested</t>
  </si>
  <si>
    <t>Unique product model/type type tested</t>
  </si>
  <si>
    <t>Product ratings type tested (e.g.voltage (kV), current rating (A), short time current withstand (kA))</t>
  </si>
  <si>
    <t>Manufacturing location of type tested unit (Name, Address and Country)</t>
  </si>
  <si>
    <t>Product rating offered (e.g. Voltage (kV), current rating (A), short time current withstand (kA))</t>
  </si>
  <si>
    <t>Manufacturing location (Name, Address and Country)</t>
  </si>
  <si>
    <t>Revision number</t>
  </si>
  <si>
    <t>Unique product model/ type/ code offered</t>
  </si>
  <si>
    <t xml:space="preserve">Drawing number </t>
  </si>
  <si>
    <t>T.6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</si>
  <si>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</si>
  <si>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</si>
  <si>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</si>
  <si>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</si>
  <si>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</si>
  <si>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</si>
  <si>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</si>
  <si>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</si>
  <si>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</si>
  <si>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</si>
  <si>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</si>
  <si>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</si>
  <si>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</si>
  <si>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</si>
  <si>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</si>
  <si>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</si>
  <si>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</si>
  <si>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</si>
  <si>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dielectric test on the main circuit (SANS 62271-200 7.1)</t>
  </si>
  <si>
    <t>tests on auxiliary and control circuits (SANS 62271-200 7.2)</t>
  </si>
  <si>
    <t>measurement of the resistance of the main circuit (SANS 62271-200 7.3)</t>
  </si>
  <si>
    <t>tightness test (SANS 62271-200 7.4)</t>
  </si>
  <si>
    <t>design and visual checks (SANS 62271-200 7.5)</t>
  </si>
  <si>
    <t>partial discharge measurement (SANS 62271-200 7.101)</t>
  </si>
  <si>
    <t>mechanical operating tests (SANS 62271-200 7.102 and SANS 62271-100 7.101, SANS 62271-102 7.101)</t>
  </si>
  <si>
    <t>pressure tests of gas-filled compartments – if applicable (SANS 62271-200 7.103)</t>
  </si>
  <si>
    <t>tests of auxiliary electrical devices (SANS 62271-200 7.104)</t>
  </si>
  <si>
    <t>6.2.3 j)</t>
  </si>
  <si>
    <t>6.2.3 i)</t>
  </si>
  <si>
    <t>6.2.3 h)</t>
  </si>
  <si>
    <t>6.2.3 g)</t>
  </si>
  <si>
    <t>6.2.3 f)</t>
  </si>
  <si>
    <t>6.2.3 e)</t>
  </si>
  <si>
    <t>6.2.3 d)</t>
  </si>
  <si>
    <t>6.2.3 c)</t>
  </si>
  <si>
    <t>6.2.3 b)</t>
  </si>
  <si>
    <t>6.2.3 a)</t>
  </si>
  <si>
    <t>6.2.4 a)</t>
  </si>
  <si>
    <t>closing and opening speeds</t>
  </si>
  <si>
    <t>closing and opening times</t>
  </si>
  <si>
    <t>time taken to recharge the mechanism following an O, C and OCO operation</t>
  </si>
  <si>
    <t>synchronism across phases and between breaks of phases for an O, C and OCO operation</t>
  </si>
  <si>
    <t>timing tests on each type of auxiliary switch contact in relation to the main contacts</t>
  </si>
  <si>
    <t>time-current curves of the electrical tripping and closing circuits for normal operation. The resolution of the function times shall clearly be indicated on the test reports.</t>
  </si>
  <si>
    <t>6.2.4 b)</t>
  </si>
  <si>
    <t>6.2.4 c)</t>
  </si>
  <si>
    <t>6.2.4 d)</t>
  </si>
  <si>
    <t>6.2.4 e)</t>
  </si>
  <si>
    <t>6.2.4 f)</t>
  </si>
  <si>
    <t>6.2.5</t>
  </si>
  <si>
    <t>CT's</t>
  </si>
  <si>
    <t>6.2.6</t>
  </si>
  <si>
    <t>VT's</t>
  </si>
  <si>
    <t>6.2.7</t>
  </si>
  <si>
    <t>Additional special tests if applicable</t>
  </si>
  <si>
    <t>Location of routine testing facility (Name, Address and Country)</t>
  </si>
  <si>
    <t>Calibration certificate number for routine test facility equipment</t>
  </si>
  <si>
    <t>General reason for failures</t>
  </si>
  <si>
    <t>- Busbar blanking plates labelled "BUSBAR - DO NOT REMOVE" on ends/top of switchboard</t>
  </si>
  <si>
    <t>Voltage Transformers (see D-DT-5408) (where applicable)</t>
  </si>
  <si>
    <t>Make (manufacturer) of VT offered</t>
  </si>
  <si>
    <t>VTs fully insulated and screened</t>
  </si>
  <si>
    <t>VTs of the plug-in type</t>
  </si>
  <si>
    <t>Means provided to disconnect VT from  busbar</t>
  </si>
  <si>
    <t>VT specification (drawing number)</t>
  </si>
  <si>
    <t>- list of all standard minor maintenance tools for each circuit-breaker / panel type offered (provide list on separate sheet provided)</t>
  </si>
  <si>
    <t>- list of all specialised major maintenance tools for each circuit-breaker / panel type offered (provide list on separate sheet provided)</t>
  </si>
  <si>
    <t>- full list as well as copies of type test certificates and reports (provide report numbers and related information on separate sheet provided)</t>
  </si>
  <si>
    <t>- Complete set of routine test certificates and report for each panel</t>
  </si>
  <si>
    <t xml:space="preserve">Proposal submitted for condition monitoring functions and sensors available for each panel type </t>
  </si>
  <si>
    <t xml:space="preserve">Training offered in accordance with DSP 34-2207 / 240-56065202 Switchgear training requirements from original equipment manufacturers
</t>
  </si>
  <si>
    <t>Switchgear panel nameplate drawing number &amp; revision number (including circuit breaker information)</t>
  </si>
  <si>
    <t>Internal arc (IEC 62271-200 6.106). Including simulated indoor  room conditions for AFLR and the minimum key room dimensions required. All type test videos to be submitted.</t>
  </si>
  <si>
    <t>Routine Test reports and certificates generic copies as required in 240-56062704</t>
  </si>
  <si>
    <t>Reports and Certificates generic copy number</t>
  </si>
  <si>
    <t>Type Test Reports and certificates as required in 240-56062704</t>
  </si>
  <si>
    <t>T.7</t>
  </si>
  <si>
    <t>6.3.1</t>
  </si>
  <si>
    <t>7.2</t>
  </si>
  <si>
    <t>6.3.2</t>
  </si>
  <si>
    <t>7.3</t>
  </si>
  <si>
    <t>6.3.3</t>
  </si>
  <si>
    <t>7.4</t>
  </si>
  <si>
    <t>6.3.4</t>
  </si>
  <si>
    <t>7.5</t>
  </si>
  <si>
    <t>6.3.5</t>
  </si>
  <si>
    <t>7.6</t>
  </si>
  <si>
    <t>6.3.6</t>
  </si>
  <si>
    <t>7.7</t>
  </si>
  <si>
    <t>6.3.7</t>
  </si>
  <si>
    <t>7.8</t>
  </si>
  <si>
    <t>6.3.8</t>
  </si>
  <si>
    <t>7.9</t>
  </si>
  <si>
    <t>6.3.9</t>
  </si>
  <si>
    <t>On site Pre-commissioning test proposal as required in 240-56062704 clause 6.3</t>
  </si>
  <si>
    <t xml:space="preserve">Protection and control scheme location in accordance with 5.11.2.4
NOTE: Suitable for both on-board and off-board </t>
  </si>
  <si>
    <t>Clearance distance from the cable support clamp to the terminal fixing centre line 
NOTE: 600 mm prefered, however suitable deviations may be considered if applied for in the deviations schedule</t>
  </si>
  <si>
    <t xml:space="preserve">Type of cable terminations to NRS 012 in accordance with 5.13.1
NOTE:For 33kV feeder panels only, Type 5 cable terminations may be considered for approval if applied for in the deviation schedule. </t>
  </si>
  <si>
    <t>Yes (if applicable)</t>
  </si>
  <si>
    <t>Number of individual bushings provided per phase (excluding surge arresters - where applicable)
NOTE: For 33kV feeder panels only, if applied for Type 5 cable terminations in the deviation schedule the number of innercone bushings to be correctly stated in the technical schedules and deviations schedule.</t>
  </si>
  <si>
    <t>4 (Type  5) / 2 (Type 4)</t>
  </si>
  <si>
    <t>Number of individual cable support clamps (D-DT-8019) per phase</t>
  </si>
  <si>
    <t xml:space="preserve">Surge arresters to be supplied with switchgear
Note: For 33kV feeder panels only, if applied for Type 5 cable terminations in the deviation schedule, surge arresters need to be offered with the panel and the deviation schedule to contain the relevant information. </t>
  </si>
  <si>
    <t>5 year history Routine test failure rate per year (Number of failed tests/ Number of panels tested per year)</t>
  </si>
  <si>
    <t>Technical compliance explanation for offered product and drawings not 100% the same as type tested unit and type test report drawings</t>
  </si>
  <si>
    <t>Technical compliance explanation for consideration if type tested product not 100% the same as offered unit</t>
  </si>
  <si>
    <t>1/400/600/1000/1200/1600</t>
  </si>
  <si>
    <t>Auxiliary and control circuits to 240-56063705 and D-DT-5408</t>
  </si>
  <si>
    <t xml:space="preserve">On site by Eskom </t>
  </si>
  <si>
    <t>green &amp; yellow</t>
  </si>
  <si>
    <t>'B'</t>
  </si>
  <si>
    <t xml:space="preserve">Circuit-brealer control circuit interlocks provided in accordance with 240-56063705 </t>
  </si>
  <si>
    <t>Alarm circuits provided and wired in accordance with 240-56063705 and D-DT-5408</t>
  </si>
  <si>
    <t>21.15</t>
  </si>
  <si>
    <t>21.16</t>
  </si>
  <si>
    <t>VT location</t>
  </si>
  <si>
    <t>Entrelec D6/8.ST1.RS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</si>
</sst>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000000"/>
  </numFmts>
  <fonts count="24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0"/>
      <name val="Symbol"/>
      <family val="1"/>
      <charset val="2"/>
    </font>
    <font>
      <vertAlign val="superscript"/>
      <sz val="10"/>
      <name val="Arial"/>
      <family val="2"/>
    </font>
    <font>
      <vertAlign val="subscript"/>
      <sz val="10"/>
      <name val="Arial"/>
      <family val="2"/>
    </font>
    <font>
      <b/>
      <sz val="13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8.5"/>
      <name val="Arial"/>
      <family val="2"/>
    </font>
    <font>
      <b/>
      <sz val="8.5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i/>
      <sz val="10"/>
      <name val="Arial"/>
      <family val="2"/>
    </font>
    <font>
      <i/>
      <vertAlign val="subscript"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4">
    <xf numFmtId="0" fontId="0" fillId="0" borderId="0" xfId="0"/>
    <xf numFmtId="0" fontId="1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13" fillId="0" borderId="0" xfId="0" applyFont="1" applyAlignment="1"/>
    <xf numFmtId="0" fontId="4" fillId="0" borderId="6" xfId="0" applyFont="1" applyFill="1" applyBorder="1" applyAlignment="1" applyProtection="1">
      <alignment horizontal="center" vertical="top" wrapText="1"/>
    </xf>
    <xf numFmtId="0" fontId="4" fillId="0" borderId="7" xfId="0" applyFont="1" applyFill="1" applyBorder="1" applyAlignment="1" applyProtection="1">
      <alignment vertical="top" wrapText="1"/>
    </xf>
    <xf numFmtId="0" fontId="4" fillId="0" borderId="8" xfId="0" applyFont="1" applyFill="1" applyBorder="1" applyAlignment="1" applyProtection="1">
      <alignment horizontal="center" vertical="top" wrapText="1"/>
    </xf>
    <xf numFmtId="0" fontId="5" fillId="0" borderId="9" xfId="0" applyFont="1" applyFill="1" applyBorder="1" applyAlignment="1" applyProtection="1">
      <alignment horizontal="center" vertical="top" wrapText="1"/>
    </xf>
    <xf numFmtId="0" fontId="4" fillId="0" borderId="10" xfId="0" applyFont="1" applyFill="1" applyBorder="1" applyAlignment="1" applyProtection="1">
      <alignment horizontal="center" vertical="top" wrapText="1"/>
    </xf>
    <xf numFmtId="0" fontId="9" fillId="0" borderId="0" xfId="0" applyFont="1" applyBorder="1" applyAlignment="1" applyProtection="1">
      <alignment vertical="top" wrapText="1"/>
    </xf>
    <xf numFmtId="0" fontId="4" fillId="0" borderId="0" xfId="0" applyFont="1" applyBorder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vertical="top" wrapText="1"/>
    </xf>
    <xf numFmtId="0" fontId="4" fillId="0" borderId="0" xfId="0" applyFont="1" applyBorder="1" applyAlignment="1" applyProtection="1">
      <alignment vertical="top" wrapText="1"/>
    </xf>
    <xf numFmtId="0" fontId="1" fillId="0" borderId="0" xfId="0" applyFont="1" applyBorder="1" applyAlignment="1" applyProtection="1">
      <alignment vertical="top" wrapText="1"/>
    </xf>
    <xf numFmtId="0" fontId="4" fillId="0" borderId="0" xfId="0" applyFont="1" applyBorder="1" applyAlignment="1" applyProtection="1">
      <alignment horizontal="justify" vertical="top" wrapText="1"/>
    </xf>
    <xf numFmtId="0" fontId="4" fillId="0" borderId="0" xfId="0" applyFont="1" applyBorder="1" applyAlignment="1" applyProtection="1">
      <alignment horizontal="right" vertical="top" wrapText="1"/>
    </xf>
    <xf numFmtId="0" fontId="1" fillId="0" borderId="0" xfId="0" applyFont="1" applyBorder="1" applyAlignment="1" applyProtection="1">
      <alignment horizontal="center" vertical="top" wrapText="1"/>
    </xf>
    <xf numFmtId="0" fontId="1" fillId="0" borderId="0" xfId="0" applyFont="1" applyFill="1" applyBorder="1" applyAlignment="1" applyProtection="1">
      <alignment horizontal="center" vertical="top" wrapText="1"/>
    </xf>
    <xf numFmtId="0" fontId="1" fillId="0" borderId="0" xfId="0" applyFont="1" applyFill="1" applyBorder="1" applyAlignment="1" applyProtection="1">
      <alignment vertical="top" wrapText="1"/>
    </xf>
    <xf numFmtId="0" fontId="4" fillId="0" borderId="11" xfId="0" applyFont="1" applyBorder="1" applyAlignment="1" applyProtection="1">
      <alignment horizontal="center" vertical="top" wrapText="1"/>
    </xf>
    <xf numFmtId="0" fontId="4" fillId="0" borderId="12" xfId="0" applyFont="1" applyBorder="1" applyAlignment="1" applyProtection="1">
      <alignment horizontal="center" vertical="top" wrapText="1"/>
    </xf>
    <xf numFmtId="0" fontId="4" fillId="0" borderId="13" xfId="0" applyFont="1" applyBorder="1" applyAlignment="1" applyProtection="1">
      <alignment horizontal="center" vertical="top" wrapText="1"/>
    </xf>
    <xf numFmtId="0" fontId="4" fillId="0" borderId="14" xfId="0" applyFont="1" applyBorder="1" applyAlignment="1" applyProtection="1">
      <alignment horizontal="center" vertical="top" wrapText="1"/>
    </xf>
    <xf numFmtId="0" fontId="1" fillId="0" borderId="11" xfId="0" applyFont="1" applyBorder="1" applyAlignment="1" applyProtection="1">
      <alignment horizontal="center" vertical="top" wrapText="1"/>
    </xf>
    <xf numFmtId="0" fontId="4" fillId="0" borderId="15" xfId="0" applyFont="1" applyFill="1" applyBorder="1" applyAlignment="1" applyProtection="1">
      <alignment horizontal="center" vertical="top" wrapText="1"/>
    </xf>
    <xf numFmtId="0" fontId="5" fillId="0" borderId="14" xfId="0" applyFont="1" applyBorder="1" applyAlignment="1" applyProtection="1">
      <alignment horizontal="center" vertical="top" wrapText="1"/>
    </xf>
    <xf numFmtId="0" fontId="6" fillId="0" borderId="11" xfId="0" applyFont="1" applyBorder="1" applyAlignment="1" applyProtection="1">
      <alignment horizontal="center" vertical="top" wrapText="1"/>
    </xf>
    <xf numFmtId="0" fontId="5" fillId="0" borderId="15" xfId="0" applyFont="1" applyFill="1" applyBorder="1" applyAlignment="1" applyProtection="1">
      <alignment horizontal="center" vertical="top" wrapText="1"/>
    </xf>
    <xf numFmtId="0" fontId="6" fillId="0" borderId="0" xfId="0" applyFont="1" applyFill="1" applyBorder="1" applyAlignment="1" applyProtection="1">
      <alignment horizontal="center" vertical="top" wrapText="1"/>
    </xf>
    <xf numFmtId="0" fontId="6" fillId="0" borderId="0" xfId="0" applyFont="1" applyBorder="1" applyAlignment="1" applyProtection="1">
      <alignment horizontal="center" vertical="top" wrapText="1"/>
    </xf>
    <xf numFmtId="0" fontId="5" fillId="0" borderId="16" xfId="0" applyFont="1" applyBorder="1" applyAlignment="1" applyProtection="1">
      <alignment horizontal="right" vertical="top" wrapText="1"/>
    </xf>
    <xf numFmtId="0" fontId="5" fillId="0" borderId="17" xfId="0" applyFont="1" applyBorder="1" applyAlignment="1" applyProtection="1">
      <alignment horizontal="center" vertical="top" wrapText="1"/>
    </xf>
    <xf numFmtId="0" fontId="5" fillId="0" borderId="18" xfId="0" applyFont="1" applyFill="1" applyBorder="1" applyAlignment="1" applyProtection="1">
      <alignment horizontal="center" vertical="top" wrapText="1"/>
    </xf>
    <xf numFmtId="0" fontId="8" fillId="0" borderId="0" xfId="0" applyFont="1" applyBorder="1" applyAlignment="1" applyProtection="1">
      <alignment vertical="top" wrapText="1"/>
    </xf>
    <xf numFmtId="0" fontId="4" fillId="0" borderId="19" xfId="0" applyFont="1" applyBorder="1" applyAlignment="1" applyProtection="1">
      <alignment horizontal="left" vertical="top" wrapText="1"/>
    </xf>
    <xf numFmtId="0" fontId="4" fillId="0" borderId="20" xfId="0" applyFont="1" applyBorder="1" applyAlignment="1" applyProtection="1">
      <alignment horizontal="center" vertical="top" wrapText="1"/>
    </xf>
    <xf numFmtId="0" fontId="10" fillId="0" borderId="21" xfId="0" applyFont="1" applyBorder="1" applyAlignment="1" applyProtection="1">
      <alignment horizontal="center" vertical="top" wrapText="1"/>
    </xf>
    <xf numFmtId="0" fontId="4" fillId="0" borderId="22" xfId="0" applyFont="1" applyBorder="1" applyAlignment="1" applyProtection="1">
      <alignment horizontal="justify" vertical="top" wrapText="1"/>
    </xf>
    <xf numFmtId="0" fontId="4" fillId="0" borderId="23" xfId="0" applyFont="1" applyBorder="1" applyAlignment="1" applyProtection="1">
      <alignment horizontal="right" vertical="top" wrapText="1"/>
    </xf>
    <xf numFmtId="0" fontId="4" fillId="0" borderId="24" xfId="0" applyFont="1" applyBorder="1" applyAlignment="1" applyProtection="1">
      <alignment horizontal="center" vertical="top" wrapText="1"/>
    </xf>
    <xf numFmtId="0" fontId="4" fillId="0" borderId="25" xfId="0" applyFont="1" applyBorder="1" applyAlignment="1" applyProtection="1">
      <alignment horizontal="justify" vertical="top" wrapText="1"/>
    </xf>
    <xf numFmtId="0" fontId="4" fillId="0" borderId="26" xfId="0" applyFont="1" applyBorder="1" applyAlignment="1" applyProtection="1">
      <alignment horizontal="right" vertical="top" wrapText="1"/>
    </xf>
    <xf numFmtId="165" fontId="4" fillId="0" borderId="27" xfId="0" applyNumberFormat="1" applyFont="1" applyBorder="1" applyAlignment="1" applyProtection="1">
      <alignment horizontal="center" vertical="top" wrapText="1"/>
    </xf>
    <xf numFmtId="0" fontId="4" fillId="0" borderId="22" xfId="0" applyFont="1" applyBorder="1" applyAlignment="1" applyProtection="1">
      <alignment vertical="top" wrapText="1"/>
    </xf>
    <xf numFmtId="0" fontId="1" fillId="0" borderId="24" xfId="0" applyFont="1" applyBorder="1" applyAlignment="1" applyProtection="1">
      <alignment horizontal="center" vertical="top" wrapText="1"/>
    </xf>
    <xf numFmtId="0" fontId="10" fillId="0" borderId="21" xfId="0" applyFont="1" applyBorder="1" applyAlignment="1" applyProtection="1">
      <alignment vertical="top" wrapText="1"/>
    </xf>
    <xf numFmtId="0" fontId="4" fillId="0" borderId="28" xfId="0" applyFont="1" applyBorder="1" applyAlignment="1" applyProtection="1">
      <alignment horizontal="right" vertical="top" wrapText="1"/>
    </xf>
    <xf numFmtId="0" fontId="4" fillId="0" borderId="29" xfId="0" applyFont="1" applyBorder="1" applyAlignment="1" applyProtection="1">
      <alignment vertical="top" wrapText="1"/>
    </xf>
    <xf numFmtId="0" fontId="5" fillId="0" borderId="30" xfId="0" applyFont="1" applyBorder="1" applyAlignment="1" applyProtection="1">
      <alignment horizontal="right" vertical="top" wrapText="1"/>
    </xf>
    <xf numFmtId="0" fontId="5" fillId="0" borderId="20" xfId="0" applyFont="1" applyBorder="1" applyAlignment="1" applyProtection="1">
      <alignment horizontal="center" vertical="top" wrapText="1"/>
    </xf>
    <xf numFmtId="0" fontId="1" fillId="0" borderId="24" xfId="0" quotePrefix="1" applyFont="1" applyBorder="1" applyAlignment="1" applyProtection="1">
      <alignment horizontal="center" vertical="top" wrapText="1"/>
    </xf>
    <xf numFmtId="0" fontId="5" fillId="0" borderId="21" xfId="0" applyFont="1" applyBorder="1" applyAlignment="1" applyProtection="1">
      <alignment vertical="top" wrapText="1"/>
    </xf>
    <xf numFmtId="0" fontId="5" fillId="0" borderId="28" xfId="0" applyFont="1" applyBorder="1" applyAlignment="1" applyProtection="1">
      <alignment vertical="top" wrapText="1"/>
    </xf>
    <xf numFmtId="0" fontId="5" fillId="0" borderId="29" xfId="0" applyFont="1" applyBorder="1" applyAlignment="1" applyProtection="1">
      <alignment horizontal="center" vertical="top" wrapText="1"/>
    </xf>
    <xf numFmtId="0" fontId="1" fillId="0" borderId="20" xfId="0" applyFont="1" applyBorder="1" applyAlignment="1" applyProtection="1">
      <alignment horizontal="center" vertical="top" wrapText="1"/>
    </xf>
    <xf numFmtId="0" fontId="4" fillId="0" borderId="22" xfId="0" quotePrefix="1" applyFont="1" applyBorder="1" applyAlignment="1" applyProtection="1">
      <alignment vertical="top" wrapText="1"/>
    </xf>
    <xf numFmtId="0" fontId="4" fillId="0" borderId="31" xfId="0" applyFont="1" applyBorder="1" applyAlignment="1" applyProtection="1">
      <alignment vertical="top" wrapText="1"/>
    </xf>
    <xf numFmtId="0" fontId="4" fillId="0" borderId="32" xfId="0" applyFont="1" applyBorder="1" applyAlignment="1" applyProtection="1">
      <alignment horizontal="right" vertical="top" wrapText="1"/>
    </xf>
    <xf numFmtId="0" fontId="1" fillId="0" borderId="33" xfId="0" applyFont="1" applyBorder="1" applyAlignment="1" applyProtection="1">
      <alignment horizontal="center" vertical="top" wrapText="1"/>
    </xf>
    <xf numFmtId="0" fontId="4" fillId="0" borderId="34" xfId="0" applyFont="1" applyBorder="1" applyAlignment="1" applyProtection="1">
      <alignment horizontal="center" vertical="top" wrapText="1"/>
    </xf>
    <xf numFmtId="0" fontId="10" fillId="0" borderId="35" xfId="0" applyFont="1" applyBorder="1" applyAlignment="1" applyProtection="1">
      <alignment horizontal="center" vertical="top" wrapText="1"/>
    </xf>
    <xf numFmtId="0" fontId="4" fillId="0" borderId="36" xfId="0" applyFont="1" applyBorder="1" applyAlignment="1" applyProtection="1">
      <alignment vertical="top" wrapText="1"/>
    </xf>
    <xf numFmtId="0" fontId="4" fillId="0" borderId="37" xfId="0" applyFont="1" applyBorder="1" applyAlignment="1" applyProtection="1">
      <alignment horizontal="right" vertical="top" wrapText="1"/>
    </xf>
    <xf numFmtId="0" fontId="1" fillId="0" borderId="34" xfId="0" applyFont="1" applyBorder="1" applyAlignment="1" applyProtection="1">
      <alignment horizontal="center" vertical="top" wrapText="1"/>
    </xf>
    <xf numFmtId="0" fontId="17" fillId="0" borderId="0" xfId="0" applyFont="1" applyBorder="1" applyAlignment="1" applyProtection="1">
      <alignment vertical="top" wrapText="1"/>
    </xf>
    <xf numFmtId="0" fontId="1" fillId="0" borderId="38" xfId="0" applyFont="1" applyBorder="1" applyAlignment="1" applyProtection="1">
      <alignment horizontal="center" vertical="top" wrapText="1"/>
    </xf>
    <xf numFmtId="0" fontId="9" fillId="0" borderId="0" xfId="0" applyFont="1" applyBorder="1" applyAlignment="1" applyProtection="1">
      <alignment horizontal="right" vertical="top" wrapText="1"/>
    </xf>
    <xf numFmtId="0" fontId="9" fillId="0" borderId="0" xfId="0" applyFont="1" applyBorder="1" applyAlignment="1" applyProtection="1">
      <alignment horizontal="center" vertical="top" wrapText="1"/>
    </xf>
    <xf numFmtId="0" fontId="9" fillId="0" borderId="0" xfId="0" applyFont="1" applyFill="1" applyBorder="1" applyAlignment="1" applyProtection="1">
      <alignment horizontal="center" vertical="top" wrapText="1"/>
    </xf>
    <xf numFmtId="0" fontId="9" fillId="0" borderId="0" xfId="0" applyFont="1" applyFill="1" applyBorder="1" applyAlignment="1" applyProtection="1">
      <alignment vertical="top" wrapText="1"/>
    </xf>
    <xf numFmtId="0" fontId="4" fillId="0" borderId="0" xfId="0" applyFont="1" applyFill="1" applyBorder="1" applyAlignment="1" applyProtection="1">
      <alignment horizontal="center" vertical="top" wrapText="1"/>
    </xf>
    <xf numFmtId="0" fontId="4" fillId="0" borderId="39" xfId="0" applyFont="1" applyBorder="1" applyAlignment="1" applyProtection="1">
      <alignment vertical="top" wrapText="1"/>
    </xf>
    <xf numFmtId="0" fontId="4" fillId="0" borderId="39" xfId="0" applyFont="1" applyBorder="1" applyAlignment="1" applyProtection="1">
      <alignment horizontal="center" vertical="top" wrapText="1"/>
    </xf>
    <xf numFmtId="0" fontId="4" fillId="0" borderId="39" xfId="0" applyFont="1" applyFill="1" applyBorder="1" applyAlignment="1" applyProtection="1">
      <alignment horizontal="center" vertical="top" wrapText="1"/>
    </xf>
    <xf numFmtId="0" fontId="4" fillId="0" borderId="22" xfId="0" applyFont="1" applyFill="1" applyBorder="1" applyAlignment="1" applyProtection="1">
      <alignment vertical="top" wrapText="1"/>
    </xf>
    <xf numFmtId="0" fontId="4" fillId="0" borderId="23" xfId="0" applyFont="1" applyFill="1" applyBorder="1" applyAlignment="1" applyProtection="1">
      <alignment horizontal="right" vertical="top" wrapText="1"/>
    </xf>
    <xf numFmtId="0" fontId="1" fillId="0" borderId="24" xfId="0" applyFont="1" applyFill="1" applyBorder="1" applyAlignment="1" applyProtection="1">
      <alignment horizontal="center" vertical="top" wrapText="1"/>
    </xf>
    <xf numFmtId="0" fontId="1" fillId="0" borderId="33" xfId="0" applyFont="1" applyFill="1" applyBorder="1" applyAlignment="1" applyProtection="1">
      <alignment horizontal="center" vertical="top" wrapText="1"/>
    </xf>
    <xf numFmtId="0" fontId="10" fillId="0" borderId="40" xfId="0" applyFont="1" applyBorder="1" applyAlignment="1" applyProtection="1">
      <alignment horizontal="center" vertical="top" wrapText="1"/>
    </xf>
    <xf numFmtId="0" fontId="4" fillId="0" borderId="41" xfId="0" applyFont="1" applyBorder="1" applyAlignment="1" applyProtection="1">
      <alignment horizontal="right" vertical="top" wrapText="1"/>
    </xf>
    <xf numFmtId="0" fontId="1" fillId="0" borderId="25" xfId="0" applyFont="1" applyBorder="1" applyAlignment="1" applyProtection="1">
      <alignment horizontal="center" vertical="top" wrapText="1"/>
    </xf>
    <xf numFmtId="0" fontId="5" fillId="0" borderId="38" xfId="0" applyFont="1" applyFill="1" applyBorder="1" applyAlignment="1" applyProtection="1">
      <alignment vertical="top" wrapText="1"/>
    </xf>
    <xf numFmtId="0" fontId="5" fillId="0" borderId="40" xfId="0" applyFont="1" applyFill="1" applyBorder="1" applyAlignment="1" applyProtection="1">
      <alignment vertical="top" wrapText="1"/>
    </xf>
    <xf numFmtId="0" fontId="5" fillId="0" borderId="38" xfId="0" applyFont="1" applyFill="1" applyBorder="1" applyAlignment="1" applyProtection="1">
      <alignment horizontal="center" vertical="top" wrapText="1"/>
    </xf>
    <xf numFmtId="0" fontId="4" fillId="0" borderId="36" xfId="0" quotePrefix="1" applyFont="1" applyBorder="1" applyAlignment="1" applyProtection="1">
      <alignment vertical="top" wrapText="1"/>
    </xf>
    <xf numFmtId="0" fontId="4" fillId="0" borderId="42" xfId="0" quotePrefix="1" applyFont="1" applyBorder="1" applyAlignment="1" applyProtection="1">
      <alignment vertical="top" wrapText="1"/>
    </xf>
    <xf numFmtId="0" fontId="4" fillId="2" borderId="24" xfId="0" applyFont="1" applyFill="1" applyBorder="1" applyAlignment="1" applyProtection="1">
      <alignment vertical="top" wrapText="1"/>
      <protection locked="0"/>
    </xf>
    <xf numFmtId="0" fontId="4" fillId="2" borderId="43" xfId="0" applyFont="1" applyFill="1" applyBorder="1" applyAlignment="1" applyProtection="1">
      <alignment vertical="top" wrapText="1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0" fontId="4" fillId="2" borderId="44" xfId="0" applyFont="1" applyFill="1" applyBorder="1" applyAlignment="1" applyProtection="1">
      <alignment vertical="top" wrapText="1"/>
      <protection locked="0"/>
    </xf>
    <xf numFmtId="0" fontId="4" fillId="2" borderId="24" xfId="0" applyFont="1" applyFill="1" applyBorder="1" applyAlignment="1" applyProtection="1">
      <alignment horizontal="center" vertical="top" wrapText="1"/>
      <protection locked="0"/>
    </xf>
    <xf numFmtId="0" fontId="4" fillId="2" borderId="43" xfId="0" applyFont="1" applyFill="1" applyBorder="1" applyAlignment="1" applyProtection="1">
      <alignment horizontal="center" vertical="top" wrapText="1"/>
      <protection locked="0"/>
    </xf>
    <xf numFmtId="0" fontId="4" fillId="2" borderId="38" xfId="0" applyFont="1" applyFill="1" applyBorder="1" applyAlignment="1" applyProtection="1">
      <alignment horizontal="center" vertical="top" wrapText="1"/>
      <protection locked="0"/>
    </xf>
    <xf numFmtId="0" fontId="4" fillId="2" borderId="45" xfId="0" applyFont="1" applyFill="1" applyBorder="1" applyAlignment="1" applyProtection="1">
      <alignment vertical="top" wrapText="1"/>
      <protection locked="0"/>
    </xf>
    <xf numFmtId="0" fontId="4" fillId="2" borderId="47" xfId="0" applyFont="1" applyFill="1" applyBorder="1" applyAlignment="1" applyProtection="1">
      <alignment vertical="top" wrapText="1"/>
      <protection locked="0"/>
    </xf>
    <xf numFmtId="0" fontId="4" fillId="0" borderId="35" xfId="0" applyFont="1" applyBorder="1" applyAlignment="1" applyProtection="1">
      <alignment horizontal="justify" vertical="top" wrapText="1"/>
    </xf>
    <xf numFmtId="0" fontId="4" fillId="0" borderId="36" xfId="0" applyFont="1" applyBorder="1" applyAlignment="1" applyProtection="1">
      <alignment horizontal="justify" vertical="top" wrapText="1"/>
    </xf>
    <xf numFmtId="0" fontId="4" fillId="0" borderId="26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Border="1" applyAlignment="1" applyProtection="1">
      <alignment vertical="top"/>
    </xf>
    <xf numFmtId="0" fontId="9" fillId="0" borderId="0" xfId="0" applyFont="1" applyAlignment="1">
      <alignment vertical="top"/>
    </xf>
    <xf numFmtId="0" fontId="4" fillId="0" borderId="20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34" xfId="0" applyFont="1" applyBorder="1" applyAlignment="1">
      <alignment vertical="top"/>
    </xf>
    <xf numFmtId="0" fontId="4" fillId="0" borderId="10" xfId="0" applyFont="1" applyBorder="1" applyAlignment="1">
      <alignment vertical="top"/>
    </xf>
    <xf numFmtId="0" fontId="4" fillId="0" borderId="37" xfId="0" applyFont="1" applyBorder="1" applyAlignment="1">
      <alignment vertical="top"/>
    </xf>
    <xf numFmtId="0" fontId="4" fillId="0" borderId="23" xfId="0" applyFont="1" applyBorder="1" applyAlignment="1" applyProtection="1">
      <alignment vertical="top" wrapText="1"/>
    </xf>
    <xf numFmtId="0" fontId="4" fillId="0" borderId="36" xfId="0" applyFont="1" applyBorder="1" applyAlignment="1">
      <alignment vertical="top"/>
    </xf>
    <xf numFmtId="0" fontId="4" fillId="0" borderId="28" xfId="0" applyFont="1" applyBorder="1" applyAlignment="1">
      <alignment vertical="top" wrapText="1"/>
    </xf>
    <xf numFmtId="0" fontId="4" fillId="0" borderId="21" xfId="0" applyFont="1" applyBorder="1" applyAlignment="1" applyProtection="1">
      <alignment vertical="top" wrapText="1"/>
    </xf>
    <xf numFmtId="0" fontId="4" fillId="0" borderId="31" xfId="0" applyFont="1" applyBorder="1" applyAlignment="1" applyProtection="1">
      <alignment horizontal="center" vertical="top" wrapText="1"/>
    </xf>
    <xf numFmtId="0" fontId="9" fillId="0" borderId="21" xfId="0" applyFont="1" applyBorder="1" applyAlignment="1" applyProtection="1">
      <alignment horizontal="justify" vertical="top" wrapText="1"/>
    </xf>
    <xf numFmtId="0" fontId="9" fillId="0" borderId="28" xfId="0" applyFont="1" applyBorder="1" applyAlignment="1" applyProtection="1">
      <alignment horizontal="justify" vertical="top" wrapText="1"/>
    </xf>
    <xf numFmtId="49" fontId="0" fillId="0" borderId="0" xfId="0" applyNumberFormat="1"/>
    <xf numFmtId="0" fontId="5" fillId="0" borderId="28" xfId="0" applyFont="1" applyBorder="1" applyAlignment="1" applyProtection="1">
      <alignment horizontal="right" vertical="top" wrapText="1"/>
    </xf>
    <xf numFmtId="0" fontId="4" fillId="0" borderId="0" xfId="0" applyFont="1"/>
    <xf numFmtId="1" fontId="4" fillId="0" borderId="27" xfId="0" applyNumberFormat="1" applyFont="1" applyBorder="1" applyAlignment="1" applyProtection="1">
      <alignment horizontal="center" vertical="top" wrapText="1"/>
    </xf>
    <xf numFmtId="164" fontId="4" fillId="0" borderId="27" xfId="0" applyNumberFormat="1" applyFont="1" applyBorder="1" applyAlignment="1" applyProtection="1">
      <alignment horizontal="center" vertical="top" wrapText="1"/>
    </xf>
    <xf numFmtId="49" fontId="5" fillId="0" borderId="0" xfId="0" applyNumberFormat="1" applyFont="1" applyBorder="1" applyAlignment="1" applyProtection="1">
      <alignment horizontal="center" wrapText="1"/>
    </xf>
    <xf numFmtId="49" fontId="5" fillId="0" borderId="0" xfId="0" applyNumberFormat="1" applyFont="1" applyBorder="1" applyAlignment="1" applyProtection="1">
      <alignment horizontal="left" vertical="top" wrapText="1"/>
    </xf>
    <xf numFmtId="49" fontId="4" fillId="0" borderId="48" xfId="0" applyNumberFormat="1" applyFont="1" applyBorder="1" applyAlignment="1" applyProtection="1">
      <alignment horizontal="center" vertical="top" wrapText="1"/>
    </xf>
    <xf numFmtId="49" fontId="5" fillId="0" borderId="48" xfId="0" applyNumberFormat="1" applyFont="1" applyBorder="1" applyAlignment="1" applyProtection="1">
      <alignment horizontal="center" vertical="top" wrapText="1"/>
    </xf>
    <xf numFmtId="49" fontId="9" fillId="0" borderId="49" xfId="0" applyNumberFormat="1" applyFont="1" applyBorder="1" applyAlignment="1" applyProtection="1">
      <alignment horizontal="left" vertical="top" wrapText="1"/>
    </xf>
    <xf numFmtId="49" fontId="9" fillId="0" borderId="19" xfId="0" applyNumberFormat="1" applyFont="1" applyBorder="1" applyAlignment="1" applyProtection="1">
      <alignment horizontal="left" vertical="top" wrapText="1"/>
    </xf>
    <xf numFmtId="49" fontId="4" fillId="0" borderId="19" xfId="0" applyNumberFormat="1" applyFont="1" applyBorder="1" applyAlignment="1" applyProtection="1">
      <alignment horizontal="left" vertical="top" wrapText="1"/>
    </xf>
    <xf numFmtId="49" fontId="9" fillId="0" borderId="50" xfId="0" applyNumberFormat="1" applyFont="1" applyBorder="1" applyAlignment="1" applyProtection="1">
      <alignment horizontal="left" vertical="top" wrapText="1"/>
    </xf>
    <xf numFmtId="49" fontId="4" fillId="0" borderId="51" xfId="0" applyNumberFormat="1" applyFont="1" applyBorder="1" applyAlignment="1" applyProtection="1">
      <alignment horizontal="left" vertical="top" wrapText="1"/>
    </xf>
    <xf numFmtId="49" fontId="5" fillId="0" borderId="51" xfId="0" applyNumberFormat="1" applyFont="1" applyBorder="1" applyAlignment="1" applyProtection="1">
      <alignment horizontal="left" vertical="top" wrapText="1"/>
    </xf>
    <xf numFmtId="49" fontId="4" fillId="0" borderId="52" xfId="0" applyNumberFormat="1" applyFont="1" applyBorder="1" applyAlignment="1" applyProtection="1">
      <alignment horizontal="left" vertical="top" wrapText="1"/>
    </xf>
    <xf numFmtId="49" fontId="5" fillId="0" borderId="19" xfId="0" applyNumberFormat="1" applyFont="1" applyBorder="1" applyAlignment="1" applyProtection="1">
      <alignment horizontal="left" vertical="top" wrapText="1"/>
    </xf>
    <xf numFmtId="49" fontId="9" fillId="0" borderId="19" xfId="0" applyNumberFormat="1" applyFont="1" applyFill="1" applyBorder="1" applyAlignment="1" applyProtection="1">
      <alignment horizontal="left" vertical="top" wrapText="1"/>
    </xf>
    <xf numFmtId="49" fontId="4" fillId="0" borderId="19" xfId="0" quotePrefix="1" applyNumberFormat="1" applyFont="1" applyBorder="1" applyAlignment="1" applyProtection="1">
      <alignment horizontal="left" vertical="top" wrapText="1"/>
    </xf>
    <xf numFmtId="49" fontId="1" fillId="0" borderId="19" xfId="0" applyNumberFormat="1" applyFont="1" applyBorder="1" applyAlignment="1" applyProtection="1">
      <alignment horizontal="left" vertical="top" wrapText="1"/>
    </xf>
    <xf numFmtId="49" fontId="4" fillId="0" borderId="53" xfId="0" quotePrefix="1" applyNumberFormat="1" applyFont="1" applyBorder="1" applyAlignment="1" applyProtection="1">
      <alignment vertical="top" wrapText="1"/>
    </xf>
    <xf numFmtId="49" fontId="4" fillId="0" borderId="0" xfId="0" applyNumberFormat="1" applyFont="1" applyBorder="1" applyAlignment="1" applyProtection="1">
      <alignment horizontal="left" vertical="top" wrapText="1"/>
    </xf>
    <xf numFmtId="49" fontId="4" fillId="0" borderId="39" xfId="0" applyNumberFormat="1" applyFont="1" applyBorder="1" applyAlignment="1" applyProtection="1">
      <alignment horizontal="left" vertical="top" wrapText="1"/>
    </xf>
    <xf numFmtId="49" fontId="1" fillId="0" borderId="0" xfId="0" applyNumberFormat="1" applyFont="1" applyBorder="1" applyAlignment="1" applyProtection="1">
      <alignment horizontal="left" vertical="top" wrapText="1"/>
    </xf>
    <xf numFmtId="49" fontId="4" fillId="0" borderId="0" xfId="0" applyNumberFormat="1" applyFont="1" applyBorder="1" applyAlignment="1" applyProtection="1">
      <alignment horizontal="center" vertical="top" wrapText="1"/>
    </xf>
    <xf numFmtId="49" fontId="4" fillId="0" borderId="11" xfId="0" applyNumberFormat="1" applyFont="1" applyBorder="1" applyAlignment="1" applyProtection="1">
      <alignment horizontal="center" vertical="top" wrapText="1"/>
    </xf>
    <xf numFmtId="49" fontId="5" fillId="0" borderId="11" xfId="0" applyNumberFormat="1" applyFont="1" applyBorder="1" applyAlignment="1" applyProtection="1">
      <alignment horizontal="center" vertical="top" wrapText="1"/>
    </xf>
    <xf numFmtId="49" fontId="4" fillId="0" borderId="17" xfId="0" applyNumberFormat="1" applyFont="1" applyBorder="1" applyAlignment="1" applyProtection="1">
      <alignment horizontal="center" vertical="top" wrapText="1"/>
    </xf>
    <xf numFmtId="49" fontId="4" fillId="0" borderId="20" xfId="0" applyNumberFormat="1" applyFont="1" applyBorder="1" applyAlignment="1" applyProtection="1">
      <alignment horizontal="center" vertical="top" wrapText="1"/>
    </xf>
    <xf numFmtId="49" fontId="4" fillId="0" borderId="54" xfId="0" applyNumberFormat="1" applyFont="1" applyBorder="1" applyAlignment="1" applyProtection="1">
      <alignment horizontal="center" vertical="top" wrapText="1"/>
    </xf>
    <xf numFmtId="49" fontId="4" fillId="0" borderId="38" xfId="0" applyNumberFormat="1" applyFont="1" applyBorder="1" applyAlignment="1" applyProtection="1">
      <alignment horizontal="center" vertical="top" wrapText="1"/>
    </xf>
    <xf numFmtId="49" fontId="4" fillId="0" borderId="34" xfId="0" applyNumberFormat="1" applyFont="1" applyBorder="1" applyAlignment="1" applyProtection="1">
      <alignment horizontal="center" vertical="top" wrapText="1"/>
    </xf>
    <xf numFmtId="49" fontId="4" fillId="0" borderId="20" xfId="0" applyNumberFormat="1" applyFont="1" applyFill="1" applyBorder="1" applyAlignment="1" applyProtection="1">
      <alignment horizontal="center" vertical="top" wrapText="1"/>
    </xf>
    <xf numFmtId="49" fontId="4" fillId="0" borderId="34" xfId="0" quotePrefix="1" applyNumberFormat="1" applyFont="1" applyBorder="1" applyAlignment="1" applyProtection="1">
      <alignment vertical="top" wrapText="1"/>
    </xf>
    <xf numFmtId="49" fontId="4" fillId="0" borderId="27" xfId="0" applyNumberFormat="1" applyFont="1" applyBorder="1" applyAlignment="1" applyProtection="1">
      <alignment horizontal="center" vertical="top" wrapText="1"/>
    </xf>
    <xf numFmtId="0" fontId="4" fillId="0" borderId="0" xfId="0" quotePrefix="1" applyFont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vertical="top" wrapText="1"/>
    </xf>
    <xf numFmtId="0" fontId="16" fillId="0" borderId="22" xfId="0" applyFont="1" applyBorder="1" applyAlignment="1" applyProtection="1">
      <alignment vertical="top" wrapText="1"/>
    </xf>
    <xf numFmtId="0" fontId="0" fillId="0" borderId="23" xfId="0" applyBorder="1" applyAlignment="1" applyProtection="1">
      <alignment horizontal="right" vertical="top" wrapText="1"/>
    </xf>
    <xf numFmtId="0" fontId="4" fillId="0" borderId="24" xfId="0" quotePrefix="1" applyFont="1" applyBorder="1" applyAlignment="1" applyProtection="1">
      <alignment horizontal="center" vertical="top" wrapText="1"/>
    </xf>
    <xf numFmtId="0" fontId="4" fillId="0" borderId="25" xfId="0" quotePrefix="1" applyFont="1" applyBorder="1" applyAlignment="1" applyProtection="1">
      <alignment horizontal="justify" vertical="top" wrapText="1"/>
    </xf>
    <xf numFmtId="0" fontId="4" fillId="0" borderId="55" xfId="0" applyFont="1" applyFill="1" applyBorder="1" applyAlignment="1" applyProtection="1">
      <alignment horizontal="center" vertical="top" wrapText="1"/>
    </xf>
    <xf numFmtId="0" fontId="4" fillId="2" borderId="8" xfId="0" applyFont="1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/>
      <protection locked="0"/>
    </xf>
    <xf numFmtId="49" fontId="9" fillId="0" borderId="50" xfId="0" applyNumberFormat="1" applyFont="1" applyBorder="1" applyAlignment="1" applyProtection="1">
      <alignment vertical="top"/>
    </xf>
    <xf numFmtId="49" fontId="4" fillId="0" borderId="19" xfId="0" applyNumberFormat="1" applyFont="1" applyBorder="1" applyAlignment="1" applyProtection="1">
      <alignment vertical="top"/>
    </xf>
    <xf numFmtId="49" fontId="4" fillId="0" borderId="19" xfId="0" applyNumberFormat="1" applyFont="1" applyBorder="1" applyAlignment="1">
      <alignment vertical="top"/>
    </xf>
    <xf numFmtId="49" fontId="9" fillId="0" borderId="50" xfId="0" applyNumberFormat="1" applyFont="1" applyBorder="1" applyAlignment="1">
      <alignment vertical="top"/>
    </xf>
    <xf numFmtId="49" fontId="4" fillId="0" borderId="52" xfId="0" applyNumberFormat="1" applyFont="1" applyBorder="1" applyAlignment="1">
      <alignment vertical="top"/>
    </xf>
    <xf numFmtId="0" fontId="4" fillId="0" borderId="0" xfId="0" applyFont="1" applyAlignment="1">
      <alignment horizontal="justify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vertical="top"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56" xfId="0" applyFont="1" applyFill="1" applyBorder="1" applyAlignment="1" applyProtection="1">
      <alignment horizontal="center" vertical="top" wrapText="1"/>
      <protection locked="0"/>
    </xf>
    <xf numFmtId="0" fontId="4" fillId="2" borderId="57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4" fillId="2" borderId="2" xfId="0" quotePrefix="1" applyFont="1" applyFill="1" applyBorder="1" applyAlignment="1" applyProtection="1">
      <alignment vertical="top" wrapText="1"/>
      <protection locked="0"/>
    </xf>
    <xf numFmtId="165" fontId="4" fillId="0" borderId="27" xfId="0" applyNumberFormat="1" applyFont="1" applyBorder="1" applyAlignment="1" applyProtection="1">
      <alignment horizontal="center" vertical="top" wrapText="1"/>
      <protection locked="0"/>
    </xf>
    <xf numFmtId="0" fontId="4" fillId="0" borderId="0" xfId="0" quotePrefix="1" applyFont="1" applyBorder="1" applyAlignment="1" applyProtection="1">
      <alignment vertical="top" wrapText="1"/>
    </xf>
    <xf numFmtId="0" fontId="9" fillId="0" borderId="58" xfId="0" applyFont="1" applyBorder="1" applyAlignment="1" applyProtection="1">
      <alignment vertical="top"/>
    </xf>
    <xf numFmtId="0" fontId="9" fillId="0" borderId="59" xfId="0" applyFont="1" applyBorder="1" applyAlignment="1">
      <alignment vertical="top"/>
    </xf>
    <xf numFmtId="0" fontId="5" fillId="0" borderId="60" xfId="0" applyFont="1" applyBorder="1" applyAlignment="1">
      <alignment horizontal="center" vertical="top" wrapText="1"/>
    </xf>
    <xf numFmtId="0" fontId="1" fillId="3" borderId="0" xfId="0" applyFont="1" applyFill="1" applyBorder="1" applyAlignment="1" applyProtection="1">
      <alignment vertical="top" wrapText="1"/>
    </xf>
    <xf numFmtId="0" fontId="4" fillId="2" borderId="25" xfId="0" applyFont="1" applyFill="1" applyBorder="1" applyAlignment="1" applyProtection="1">
      <alignment vertical="top" wrapText="1"/>
      <protection locked="0"/>
    </xf>
    <xf numFmtId="1" fontId="0" fillId="0" borderId="27" xfId="0" applyNumberFormat="1" applyBorder="1" applyAlignment="1" applyProtection="1">
      <alignment horizontal="center" vertical="top" wrapText="1"/>
    </xf>
    <xf numFmtId="0" fontId="4" fillId="0" borderId="25" xfId="0" quotePrefix="1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vertical="top" wrapText="1"/>
    </xf>
    <xf numFmtId="0" fontId="0" fillId="0" borderId="24" xfId="0" applyFont="1" applyBorder="1" applyAlignment="1" applyProtection="1">
      <alignment horizontal="center" vertical="top" wrapText="1"/>
    </xf>
    <xf numFmtId="0" fontId="4" fillId="0" borderId="22" xfId="0" quotePrefix="1" applyFont="1" applyBorder="1" applyAlignment="1" applyProtection="1">
      <alignment horizontal="left" vertical="top" wrapText="1"/>
    </xf>
    <xf numFmtId="0" fontId="4" fillId="0" borderId="22" xfId="0" applyFont="1" applyBorder="1" applyAlignment="1" applyProtection="1">
      <alignment horizontal="center" vertical="top" wrapText="1"/>
    </xf>
    <xf numFmtId="0" fontId="1" fillId="0" borderId="12" xfId="0" applyFont="1" applyBorder="1" applyAlignment="1" applyProtection="1">
      <alignment horizontal="center" vertical="top" wrapText="1"/>
    </xf>
    <xf numFmtId="0" fontId="4" fillId="2" borderId="22" xfId="0" applyFont="1" applyFill="1" applyBorder="1" applyAlignment="1" applyProtection="1">
      <alignment vertical="top" wrapText="1"/>
      <protection locked="0"/>
    </xf>
    <xf numFmtId="0" fontId="4" fillId="2" borderId="22" xfId="0" applyFont="1" applyFill="1" applyBorder="1" applyAlignment="1" applyProtection="1">
      <alignment horizontal="center" vertical="top" wrapText="1"/>
      <protection locked="0"/>
    </xf>
    <xf numFmtId="0" fontId="4" fillId="2" borderId="6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>
      <alignment vertical="top"/>
    </xf>
    <xf numFmtId="0" fontId="4" fillId="0" borderId="35" xfId="0" applyFont="1" applyBorder="1" applyAlignment="1">
      <alignment vertical="top"/>
    </xf>
    <xf numFmtId="0" fontId="4" fillId="0" borderId="0" xfId="0" applyFont="1" applyAlignment="1">
      <alignment horizontal="justify" wrapText="1"/>
    </xf>
    <xf numFmtId="0" fontId="4" fillId="2" borderId="20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vertical="top"/>
      <protection locked="0"/>
    </xf>
    <xf numFmtId="0" fontId="22" fillId="0" borderId="24" xfId="0" applyFont="1" applyBorder="1" applyAlignment="1" applyProtection="1">
      <alignment horizontal="center" vertical="top" wrapText="1"/>
    </xf>
    <xf numFmtId="0" fontId="13" fillId="0" borderId="36" xfId="0" applyFont="1" applyBorder="1" applyAlignment="1">
      <alignment horizontal="center"/>
    </xf>
    <xf numFmtId="0" fontId="4" fillId="2" borderId="62" xfId="0" applyFont="1" applyFill="1" applyBorder="1" applyAlignment="1" applyProtection="1">
      <alignment vertical="top" wrapText="1"/>
      <protection locked="0"/>
    </xf>
    <xf numFmtId="0" fontId="4" fillId="2" borderId="63" xfId="0" applyFont="1" applyFill="1" applyBorder="1" applyAlignment="1" applyProtection="1">
      <alignment vertical="top" wrapText="1"/>
      <protection locked="0"/>
    </xf>
    <xf numFmtId="16" fontId="4" fillId="2" borderId="6" xfId="0" quotePrefix="1" applyNumberFormat="1" applyFont="1" applyFill="1" applyBorder="1" applyAlignment="1" applyProtection="1">
      <alignment horizontal="center" vertical="top" wrapText="1"/>
      <protection locked="0"/>
    </xf>
    <xf numFmtId="16" fontId="4" fillId="2" borderId="6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quotePrefix="1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alignment horizontal="center" vertical="top" wrapText="1"/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4" xfId="0" quotePrefix="1" applyBorder="1" applyProtection="1">
      <protection locked="0"/>
    </xf>
    <xf numFmtId="0" fontId="4" fillId="2" borderId="61" xfId="0" applyNumberFormat="1" applyFont="1" applyFill="1" applyBorder="1" applyAlignment="1" applyProtection="1">
      <alignment horizontal="center" vertical="top" wrapText="1"/>
      <protection locked="0"/>
    </xf>
    <xf numFmtId="0" fontId="1" fillId="2" borderId="61" xfId="0" applyFont="1" applyFill="1" applyBorder="1" applyAlignment="1" applyProtection="1">
      <alignment horizontal="center" vertical="top" wrapText="1"/>
      <protection locked="0"/>
    </xf>
    <xf numFmtId="0" fontId="1" fillId="2" borderId="61" xfId="0" applyNumberFormat="1" applyFont="1" applyFill="1" applyBorder="1" applyAlignment="1" applyProtection="1">
      <alignment horizontal="center" vertical="top" wrapText="1"/>
      <protection locked="0"/>
    </xf>
    <xf numFmtId="0" fontId="1" fillId="2" borderId="61" xfId="1" applyFont="1" applyFill="1" applyBorder="1" applyAlignment="1" applyProtection="1">
      <alignment horizontal="center" vertical="top" wrapText="1"/>
      <protection locked="0"/>
    </xf>
    <xf numFmtId="0" fontId="1" fillId="2" borderId="61" xfId="1" applyNumberFormat="1" applyFont="1" applyFill="1" applyBorder="1" applyAlignment="1" applyProtection="1">
      <alignment horizontal="center" vertical="top" wrapText="1"/>
      <protection locked="0"/>
    </xf>
    <xf numFmtId="0" fontId="1" fillId="2" borderId="61" xfId="1" applyFont="1" applyFill="1" applyBorder="1" applyAlignment="1" applyProtection="1">
      <alignment horizontal="center" vertical="top" wrapText="1"/>
      <protection locked="0"/>
    </xf>
    <xf numFmtId="0" fontId="1" fillId="2" borderId="61" xfId="1" applyFont="1" applyFill="1" applyBorder="1" applyAlignment="1" applyProtection="1">
      <alignment horizontal="center" vertical="top" wrapText="1"/>
      <protection locked="0"/>
    </xf>
    <xf numFmtId="0" fontId="1" fillId="2" borderId="61" xfId="1" applyFont="1" applyFill="1" applyBorder="1" applyAlignment="1" applyProtection="1">
      <alignment horizontal="center" vertical="top" wrapText="1"/>
      <protection locked="0"/>
    </xf>
    <xf numFmtId="0" fontId="23" fillId="0" borderId="4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24" xfId="1" applyFont="1" applyFill="1" applyBorder="1" applyAlignment="1" applyProtection="1">
      <alignment vertical="top" wrapText="1"/>
      <protection locked="0"/>
    </xf>
    <xf numFmtId="0" fontId="1" fillId="2" borderId="43" xfId="1" applyFont="1" applyFill="1" applyBorder="1" applyAlignment="1" applyProtection="1">
      <alignment vertical="top" wrapText="1"/>
      <protection locked="0"/>
    </xf>
    <xf numFmtId="0" fontId="1" fillId="2" borderId="27" xfId="1" applyFont="1" applyFill="1" applyBorder="1" applyAlignment="1" applyProtection="1">
      <alignment vertical="top" wrapText="1"/>
      <protection locked="0"/>
    </xf>
    <xf numFmtId="0" fontId="1" fillId="2" borderId="24" xfId="1" applyFont="1" applyFill="1" applyBorder="1" applyAlignment="1" applyProtection="1">
      <alignment horizontal="center" vertical="top" wrapText="1"/>
      <protection locked="0"/>
    </xf>
    <xf numFmtId="0" fontId="1" fillId="2" borderId="45" xfId="1" applyFont="1" applyFill="1" applyBorder="1" applyAlignment="1" applyProtection="1">
      <alignment vertical="top" wrapText="1"/>
      <protection locked="0"/>
    </xf>
    <xf numFmtId="0" fontId="1" fillId="2" borderId="46" xfId="1" applyFont="1" applyFill="1" applyBorder="1" applyAlignment="1" applyProtection="1">
      <alignment vertical="top" wrapText="1"/>
      <protection locked="0"/>
    </xf>
    <xf numFmtId="0" fontId="1" fillId="2" borderId="25" xfId="1" applyFont="1" applyFill="1" applyBorder="1" applyAlignment="1" applyProtection="1">
      <alignment vertical="top" wrapText="1"/>
      <protection locked="0"/>
    </xf>
    <xf numFmtId="0" fontId="1" fillId="2" borderId="22" xfId="1" applyFont="1" applyFill="1" applyBorder="1" applyAlignment="1" applyProtection="1">
      <alignment vertical="top" wrapText="1"/>
      <protection locked="0"/>
    </xf>
    <xf numFmtId="0" fontId="1" fillId="2" borderId="22" xfId="1" applyFont="1" applyFill="1" applyBorder="1" applyAlignment="1" applyProtection="1">
      <alignment horizontal="center" vertical="top" wrapText="1"/>
      <protection locked="0"/>
    </xf>
    <xf numFmtId="0" fontId="1" fillId="2" borderId="24" xfId="1" applyFont="1" applyFill="1" applyBorder="1" applyAlignment="1" applyProtection="1">
      <alignment vertical="top" wrapText="1"/>
      <protection locked="0"/>
    </xf>
    <xf numFmtId="0" fontId="1" fillId="2" borderId="43" xfId="1" applyFont="1" applyFill="1" applyBorder="1" applyAlignment="1" applyProtection="1">
      <alignment vertical="top" wrapText="1"/>
      <protection locked="0"/>
    </xf>
    <xf numFmtId="0" fontId="1" fillId="2" borderId="27" xfId="1" applyFont="1" applyFill="1" applyBorder="1" applyAlignment="1" applyProtection="1">
      <alignment vertical="top" wrapText="1"/>
      <protection locked="0"/>
    </xf>
    <xf numFmtId="0" fontId="1" fillId="2" borderId="24" xfId="1" applyFont="1" applyFill="1" applyBorder="1" applyAlignment="1" applyProtection="1">
      <alignment horizontal="center" vertical="top" wrapText="1"/>
      <protection locked="0"/>
    </xf>
    <xf numFmtId="0" fontId="1" fillId="2" borderId="45" xfId="1" applyFont="1" applyFill="1" applyBorder="1" applyAlignment="1" applyProtection="1">
      <alignment vertical="top" wrapText="1"/>
      <protection locked="0"/>
    </xf>
    <xf numFmtId="0" fontId="1" fillId="2" borderId="46" xfId="1" applyFont="1" applyFill="1" applyBorder="1" applyAlignment="1" applyProtection="1">
      <alignment vertical="top" wrapText="1"/>
      <protection locked="0"/>
    </xf>
    <xf numFmtId="0" fontId="1" fillId="2" borderId="25" xfId="1" applyFont="1" applyFill="1" applyBorder="1" applyAlignment="1" applyProtection="1">
      <alignment vertical="top" wrapText="1"/>
      <protection locked="0"/>
    </xf>
    <xf numFmtId="0" fontId="1" fillId="2" borderId="22" xfId="1" applyFont="1" applyFill="1" applyBorder="1" applyAlignment="1" applyProtection="1">
      <alignment vertical="top" wrapText="1"/>
      <protection locked="0"/>
    </xf>
    <xf numFmtId="0" fontId="1" fillId="2" borderId="22" xfId="1" applyFont="1" applyFill="1" applyBorder="1" applyAlignment="1" applyProtection="1">
      <alignment horizontal="center" vertical="top" wrapText="1"/>
      <protection locked="0"/>
    </xf>
    <xf numFmtId="0" fontId="1" fillId="2" borderId="46" xfId="1" applyFont="1" applyFill="1" applyBorder="1" applyAlignment="1" applyProtection="1">
      <alignment vertical="top" wrapText="1"/>
      <protection locked="0"/>
    </xf>
    <xf numFmtId="0" fontId="1" fillId="2" borderId="46" xfId="1" applyFont="1" applyFill="1" applyBorder="1" applyAlignment="1" applyProtection="1">
      <alignment vertical="top" wrapText="1"/>
      <protection locked="0"/>
    </xf>
    <xf numFmtId="0" fontId="1" fillId="2" borderId="44" xfId="1" applyFont="1" applyFill="1" applyBorder="1" applyAlignment="1" applyProtection="1">
      <alignment vertical="top" wrapText="1"/>
      <protection locked="0"/>
    </xf>
    <xf numFmtId="0" fontId="1" fillId="2" borderId="45" xfId="1" applyFont="1" applyFill="1" applyBorder="1" applyAlignment="1" applyProtection="1">
      <alignment vertical="top" wrapText="1"/>
      <protection locked="0"/>
    </xf>
    <xf numFmtId="0" fontId="1" fillId="2" borderId="25" xfId="1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6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9" fillId="0" borderId="64" xfId="0" applyFont="1" applyFill="1" applyBorder="1" applyAlignment="1" applyProtection="1">
      <alignment horizontal="justify" vertical="top" wrapText="1"/>
    </xf>
    <xf numFmtId="0" fontId="9" fillId="0" borderId="62" xfId="0" applyFont="1" applyFill="1" applyBorder="1" applyAlignment="1" applyProtection="1">
      <alignment horizontal="justify" vertical="top" wrapText="1"/>
    </xf>
    <xf numFmtId="0" fontId="9" fillId="0" borderId="30" xfId="0" applyFont="1" applyFill="1" applyBorder="1" applyAlignment="1" applyProtection="1">
      <alignment horizontal="justify" vertical="top" wrapText="1"/>
    </xf>
    <xf numFmtId="0" fontId="4" fillId="0" borderId="0" xfId="0" applyFont="1" applyBorder="1" applyAlignment="1" applyProtection="1">
      <alignment horizontal="left" vertical="top" wrapText="1"/>
    </xf>
    <xf numFmtId="0" fontId="4" fillId="0" borderId="28" xfId="0" applyFont="1" applyBorder="1" applyAlignment="1" applyProtection="1">
      <alignment horizontal="left" vertical="top" wrapText="1"/>
    </xf>
    <xf numFmtId="0" fontId="4" fillId="0" borderId="31" xfId="0" applyFont="1" applyBorder="1" applyAlignment="1" applyProtection="1">
      <alignment horizontal="left" vertical="top" wrapText="1"/>
    </xf>
    <xf numFmtId="0" fontId="4" fillId="0" borderId="32" xfId="0" applyFont="1" applyBorder="1" applyAlignment="1" applyProtection="1">
      <alignment horizontal="left" vertical="top" wrapText="1"/>
    </xf>
    <xf numFmtId="0" fontId="4" fillId="0" borderId="62" xfId="0" applyFont="1" applyBorder="1" applyAlignment="1" applyProtection="1">
      <alignment horizontal="center" vertical="top" wrapText="1"/>
    </xf>
    <xf numFmtId="0" fontId="9" fillId="0" borderId="65" xfId="0" applyFont="1" applyBorder="1" applyAlignment="1" applyProtection="1">
      <alignment horizontal="justify" vertical="top" wrapText="1"/>
    </xf>
    <xf numFmtId="0" fontId="9" fillId="0" borderId="66" xfId="0" applyFont="1" applyBorder="1" applyAlignment="1" applyProtection="1">
      <alignment horizontal="justify" vertical="top" wrapText="1"/>
    </xf>
    <xf numFmtId="0" fontId="9" fillId="0" borderId="16" xfId="0" applyFont="1" applyBorder="1" applyAlignment="1" applyProtection="1">
      <alignment horizontal="justify" vertical="top" wrapText="1"/>
    </xf>
    <xf numFmtId="0" fontId="9" fillId="0" borderId="0" xfId="0" applyFont="1" applyBorder="1" applyAlignment="1" applyProtection="1">
      <alignment vertical="top" wrapText="1"/>
    </xf>
    <xf numFmtId="0" fontId="3" fillId="0" borderId="0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vertical="top" wrapText="1"/>
    </xf>
    <xf numFmtId="0" fontId="5" fillId="0" borderId="12" xfId="0" applyFont="1" applyBorder="1" applyAlignment="1" applyProtection="1">
      <alignment horizontal="center" vertical="top" wrapText="1"/>
    </xf>
    <xf numFmtId="0" fontId="5" fillId="0" borderId="13" xfId="0" applyFont="1" applyBorder="1" applyAlignment="1" applyProtection="1">
      <alignment horizontal="center" vertical="top" wrapText="1"/>
    </xf>
    <xf numFmtId="0" fontId="15" fillId="0" borderId="0" xfId="0" applyFont="1" applyBorder="1" applyAlignment="1" applyProtection="1">
      <alignment horizontal="right" wrapText="1"/>
    </xf>
    <xf numFmtId="0" fontId="3" fillId="0" borderId="0" xfId="0" applyNumberFormat="1" applyFont="1" applyBorder="1" applyAlignment="1" applyProtection="1">
      <alignment horizontal="center" vertical="top" wrapText="1"/>
    </xf>
    <xf numFmtId="0" fontId="9" fillId="0" borderId="64" xfId="0" applyFont="1" applyBorder="1" applyAlignment="1" applyProtection="1">
      <alignment horizontal="justify" vertical="top" wrapText="1"/>
    </xf>
    <xf numFmtId="0" fontId="9" fillId="0" borderId="62" xfId="0" applyFont="1" applyBorder="1" applyAlignment="1" applyProtection="1">
      <alignment horizontal="justify" vertical="top" wrapText="1"/>
    </xf>
    <xf numFmtId="0" fontId="9" fillId="0" borderId="30" xfId="0" applyFont="1" applyBorder="1" applyAlignment="1" applyProtection="1">
      <alignment horizontal="justify" vertical="top" wrapText="1"/>
    </xf>
    <xf numFmtId="0" fontId="4" fillId="0" borderId="25" xfId="0" applyFont="1" applyBorder="1" applyAlignment="1" applyProtection="1">
      <alignment vertical="top" wrapText="1"/>
    </xf>
    <xf numFmtId="0" fontId="4" fillId="0" borderId="26" xfId="0" applyFont="1" applyBorder="1" applyAlignment="1" applyProtection="1">
      <alignment vertical="top" wrapText="1"/>
    </xf>
    <xf numFmtId="0" fontId="9" fillId="0" borderId="64" xfId="0" applyFont="1" applyBorder="1" applyAlignment="1" applyProtection="1">
      <alignment vertical="top" wrapText="1"/>
    </xf>
    <xf numFmtId="0" fontId="9" fillId="0" borderId="62" xfId="0" applyFont="1" applyBorder="1" applyAlignment="1" applyProtection="1">
      <alignment vertical="top" wrapText="1"/>
    </xf>
    <xf numFmtId="0" fontId="9" fillId="0" borderId="30" xfId="0" applyFont="1" applyBorder="1" applyAlignment="1" applyProtection="1">
      <alignment vertical="top" wrapText="1"/>
    </xf>
    <xf numFmtId="0" fontId="5" fillId="0" borderId="21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5" fillId="0" borderId="28" xfId="0" applyFont="1" applyBorder="1" applyAlignment="1" applyProtection="1">
      <alignment horizontal="left" vertical="top" wrapText="1"/>
    </xf>
    <xf numFmtId="0" fontId="13" fillId="0" borderId="36" xfId="0" applyFont="1" applyBorder="1" applyAlignment="1">
      <alignment horizontal="center"/>
    </xf>
    <xf numFmtId="0" fontId="4" fillId="0" borderId="67" xfId="0" applyFont="1" applyBorder="1" applyAlignment="1">
      <alignment horizontal="justify" vertical="top" wrapText="1"/>
    </xf>
    <xf numFmtId="0" fontId="4" fillId="0" borderId="13" xfId="0" applyFont="1" applyBorder="1" applyAlignment="1">
      <alignment horizontal="justify" vertical="top" wrapText="1"/>
    </xf>
    <xf numFmtId="0" fontId="4" fillId="0" borderId="68" xfId="0" applyFont="1" applyBorder="1" applyAlignment="1">
      <alignment horizontal="justify" vertical="top" wrapText="1"/>
    </xf>
    <xf numFmtId="0" fontId="1" fillId="2" borderId="45" xfId="1" applyFont="1" applyFill="1" applyBorder="1" applyAlignment="1" applyProtection="1">
      <alignment vertical="top" wrapText="1"/>
      <protection locked="0"/>
    </xf>
    <xf numFmtId="0" fontId="1" fillId="2" borderId="25" xfId="1" applyFont="1" applyFill="1" applyBorder="1" applyAlignment="1" applyProtection="1">
      <alignment vertical="top" wrapText="1"/>
      <protection locked="0"/>
    </xf>
    <xf numFmtId="0" fontId="1" fillId="2" borderId="44" xfId="1" applyFont="1" applyFill="1" applyBorder="1" applyAlignment="1" applyProtection="1">
      <alignment vertical="top" wrapText="1"/>
      <protection locked="0"/>
    </xf>
    <xf numFmtId="0" fontId="9" fillId="0" borderId="64" xfId="0" applyFont="1" applyBorder="1" applyAlignment="1" applyProtection="1">
      <alignment horizontal="left" vertical="top" wrapText="1"/>
    </xf>
    <xf numFmtId="0" fontId="9" fillId="0" borderId="62" xfId="0" applyFont="1" applyBorder="1" applyAlignment="1" applyProtection="1">
      <alignment horizontal="left" vertical="top" wrapText="1"/>
    </xf>
    <xf numFmtId="0" fontId="9" fillId="0" borderId="63" xfId="0" applyFont="1" applyBorder="1" applyAlignment="1" applyProtection="1">
      <alignment horizontal="left" vertical="top" wrapText="1"/>
    </xf>
    <xf numFmtId="0" fontId="4" fillId="2" borderId="45" xfId="0" applyFont="1" applyFill="1" applyBorder="1" applyAlignment="1" applyProtection="1">
      <alignment vertical="top" wrapText="1"/>
      <protection locked="0"/>
    </xf>
    <xf numFmtId="0" fontId="4" fillId="2" borderId="25" xfId="0" applyFont="1" applyFill="1" applyBorder="1" applyAlignment="1" applyProtection="1">
      <alignment vertical="top" wrapText="1"/>
      <protection locked="0"/>
    </xf>
    <xf numFmtId="0" fontId="4" fillId="2" borderId="44" xfId="0" applyFont="1" applyFill="1" applyBorder="1" applyAlignment="1" applyProtection="1">
      <alignment vertical="top" wrapText="1"/>
      <protection locked="0"/>
    </xf>
    <xf numFmtId="0" fontId="4" fillId="0" borderId="36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9" fillId="0" borderId="58" xfId="0" applyFont="1" applyBorder="1" applyAlignment="1">
      <alignment vertical="top" wrapText="1"/>
    </xf>
    <xf numFmtId="0" fontId="0" fillId="0" borderId="59" xfId="0" applyBorder="1" applyAlignment="1">
      <alignment vertical="top" wrapText="1"/>
    </xf>
    <xf numFmtId="0" fontId="5" fillId="0" borderId="40" xfId="0" applyFont="1" applyFill="1" applyBorder="1" applyAlignment="1" applyProtection="1">
      <alignment horizontal="center" vertical="top" wrapText="1"/>
    </xf>
    <xf numFmtId="0" fontId="0" fillId="0" borderId="39" xfId="0" applyBorder="1" applyAlignment="1">
      <alignment horizontal="center" vertical="top" wrapText="1"/>
    </xf>
    <xf numFmtId="0" fontId="0" fillId="0" borderId="72" xfId="0" applyBorder="1" applyAlignment="1">
      <alignment horizontal="center" vertical="top" wrapText="1"/>
    </xf>
    <xf numFmtId="0" fontId="4" fillId="2" borderId="47" xfId="0" applyFont="1" applyFill="1" applyBorder="1" applyAlignment="1" applyProtection="1">
      <alignment horizontal="center" vertical="top" wrapText="1"/>
      <protection locked="0"/>
    </xf>
    <xf numFmtId="0" fontId="0" fillId="0" borderId="73" xfId="0" applyBorder="1" applyAlignment="1">
      <alignment horizontal="center" vertical="top" wrapText="1"/>
    </xf>
    <xf numFmtId="0" fontId="0" fillId="0" borderId="74" xfId="0" applyBorder="1" applyAlignment="1">
      <alignment horizontal="center" vertical="top" wrapText="1"/>
    </xf>
    <xf numFmtId="0" fontId="9" fillId="0" borderId="69" xfId="0" applyFont="1" applyBorder="1" applyAlignment="1">
      <alignment horizontal="center" vertical="top" wrapText="1"/>
    </xf>
    <xf numFmtId="0" fontId="9" fillId="0" borderId="70" xfId="0" applyFont="1" applyBorder="1" applyAlignment="1">
      <alignment horizontal="center" vertical="top" wrapText="1"/>
    </xf>
    <xf numFmtId="0" fontId="9" fillId="0" borderId="71" xfId="0" applyFont="1" applyBorder="1" applyAlignment="1">
      <alignment horizontal="center" vertical="top" wrapText="1"/>
    </xf>
    <xf numFmtId="49" fontId="4" fillId="0" borderId="19" xfId="0" applyNumberFormat="1" applyFont="1" applyBorder="1" applyAlignment="1" applyProtection="1">
      <alignment horizontal="left" vertical="top"/>
    </xf>
    <xf numFmtId="0" fontId="1" fillId="0" borderId="0" xfId="0" applyFont="1"/>
    <xf numFmtId="49" fontId="1" fillId="0" borderId="0" xfId="0" applyNumberFormat="1" applyFont="1"/>
    <xf numFmtId="0" fontId="1" fillId="0" borderId="0" xfId="0" applyFont="1" applyBorder="1" applyAlignment="1" applyProtection="1">
      <alignment horizontal="left" vertical="top" wrapText="1"/>
    </xf>
  </cellXfs>
  <cellStyles count="2">
    <cellStyle name="Normal" xfId="0" builtinId="0"/>
    <cellStyle name="Normal 2" xfId="1"/>
  </cellStyles>
  <dxfs count="74"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BK532"/>
  <sheetViews>
    <sheetView showGridLines="0" view="pageBreakPreview" topLeftCell="A41" zoomScaleNormal="100" workbookViewId="0">
      <selection activeCell="H49" sqref="H49"/>
    </sheetView>
  </sheetViews>
  <sheetFormatPr defaultColWidth="9.109375" defaultRowHeight="13.2" x14ac:dyDescent="0.25"/>
  <cols>
    <col min="1" max="1" width="2.109375" style="21" customWidth="1"/>
    <col min="2" max="2" width="7.109375" style="145" bestFit="1" customWidth="1"/>
    <col min="3" max="3" width="10.6640625" style="146" bestFit="1" customWidth="1"/>
    <col min="4" max="4" width="3.44140625" style="21" customWidth="1"/>
    <col min="5" max="5" width="47.88671875" style="22" customWidth="1"/>
    <col min="6" max="6" width="7.5546875" style="23" customWidth="1"/>
    <col min="7" max="7" width="17.33203125" style="24" customWidth="1"/>
    <col min="8" max="8" width="16.88671875" style="25" customWidth="1"/>
    <col min="9" max="9" width="3.109375" style="26" customWidth="1"/>
    <col min="10" max="12" width="9.109375" style="21"/>
    <col min="13" max="13" width="44.5546875" style="21" customWidth="1"/>
    <col min="14" max="14" width="20" style="21" customWidth="1"/>
    <col min="15" max="15" width="13.88671875" style="21" customWidth="1"/>
    <col min="16" max="16" width="12.33203125" style="21" customWidth="1"/>
    <col min="17" max="17" width="13.44140625" style="21" customWidth="1"/>
    <col min="18" max="18" width="11.5546875" style="21" customWidth="1"/>
    <col min="19" max="19" width="11.6640625" style="21" customWidth="1"/>
    <col min="20" max="20" width="13.109375" style="21" customWidth="1"/>
    <col min="21" max="21" width="13.44140625" style="21" customWidth="1"/>
    <col min="22" max="22" width="12" style="21" customWidth="1"/>
    <col min="23" max="23" width="12.6640625" style="21" customWidth="1"/>
    <col min="24" max="24" width="12.109375" style="21" customWidth="1"/>
    <col min="25" max="25" width="24.109375" style="21" customWidth="1"/>
    <col min="26" max="26" width="12.33203125" style="21" customWidth="1"/>
    <col min="27" max="28" width="17" style="21" customWidth="1"/>
    <col min="29" max="29" width="11.33203125" style="21" customWidth="1"/>
    <col min="30" max="30" width="11" style="21" customWidth="1"/>
    <col min="31" max="31" width="11.44140625" style="21" customWidth="1"/>
    <col min="32" max="32" width="12.33203125" style="21" customWidth="1"/>
    <col min="33" max="33" width="14.109375" style="21" customWidth="1"/>
    <col min="34" max="34" width="13.88671875" style="21" customWidth="1"/>
    <col min="35" max="35" width="13.33203125" style="21" customWidth="1"/>
    <col min="36" max="36" width="13.109375" style="21" customWidth="1"/>
    <col min="37" max="37" width="30" style="21" customWidth="1"/>
    <col min="38" max="38" width="12" style="21" customWidth="1"/>
    <col min="39" max="39" width="15.88671875" style="21" customWidth="1"/>
    <col min="40" max="40" width="12" style="21" customWidth="1"/>
    <col min="41" max="42" width="13.109375" style="21" customWidth="1"/>
    <col min="43" max="43" width="29.5546875" style="21" customWidth="1"/>
    <col min="44" max="44" width="13" style="21" customWidth="1"/>
    <col min="45" max="45" width="12.33203125" style="21" customWidth="1"/>
    <col min="46" max="46" width="12.6640625" style="21" customWidth="1"/>
    <col min="47" max="47" width="15.6640625" style="21" customWidth="1"/>
    <col min="48" max="48" width="41.109375" style="21" bestFit="1" customWidth="1"/>
    <col min="49" max="49" width="28" style="21" bestFit="1" customWidth="1"/>
    <col min="50" max="50" width="31.5546875" style="21" bestFit="1" customWidth="1"/>
    <col min="51" max="51" width="22" style="21" customWidth="1"/>
    <col min="52" max="52" width="11.6640625" style="21" customWidth="1"/>
    <col min="53" max="54" width="11" style="21" bestFit="1" customWidth="1"/>
    <col min="55" max="16384" width="9.109375" style="21"/>
  </cols>
  <sheetData>
    <row r="1" spans="2:14" s="15" customFormat="1" ht="18" customHeight="1" x14ac:dyDescent="0.25">
      <c r="B1" s="267" t="s">
        <v>926</v>
      </c>
      <c r="C1" s="267"/>
      <c r="D1" s="267"/>
      <c r="E1" s="267"/>
      <c r="F1" s="267"/>
      <c r="G1" s="267"/>
      <c r="H1" s="267"/>
      <c r="I1" s="14"/>
    </row>
    <row r="2" spans="2:14" s="15" customFormat="1" ht="18" customHeight="1" x14ac:dyDescent="0.25">
      <c r="B2" s="267" t="s">
        <v>925</v>
      </c>
      <c r="C2" s="267"/>
      <c r="D2" s="267"/>
      <c r="E2" s="267"/>
      <c r="F2" s="267"/>
      <c r="G2" s="267"/>
      <c r="H2" s="267"/>
      <c r="I2" s="14"/>
    </row>
    <row r="3" spans="2:14" s="15" customFormat="1" ht="18" customHeight="1" x14ac:dyDescent="0.25">
      <c r="B3" s="272" t="str">
        <f>"SAP: "&amp;G12&amp;"   "&amp;E11</f>
        <v>SAP: 0574937   SWITCHGEAR:FP FEEDER(B);11KV;630A</v>
      </c>
      <c r="C3" s="272"/>
      <c r="D3" s="272"/>
      <c r="E3" s="272"/>
      <c r="F3" s="272"/>
      <c r="G3" s="272"/>
      <c r="H3" s="272"/>
      <c r="I3" s="14"/>
    </row>
    <row r="4" spans="2:14" s="18" customFormat="1" ht="15" customHeight="1" x14ac:dyDescent="0.25">
      <c r="B4" s="127"/>
      <c r="C4" s="127"/>
      <c r="D4" s="16"/>
      <c r="E4" s="16"/>
      <c r="F4" s="16"/>
      <c r="G4" s="271"/>
      <c r="H4" s="271"/>
      <c r="I4" s="17"/>
    </row>
    <row r="5" spans="2:14" s="20" customFormat="1" ht="12.75" customHeight="1" x14ac:dyDescent="0.25">
      <c r="B5" s="268" t="s">
        <v>106</v>
      </c>
      <c r="C5" s="268"/>
      <c r="D5" s="268"/>
      <c r="E5" s="268"/>
      <c r="F5" s="268"/>
      <c r="G5" s="268"/>
      <c r="H5" s="268"/>
      <c r="I5" s="14"/>
    </row>
    <row r="6" spans="2:14" s="20" customFormat="1" ht="12.75" customHeight="1" x14ac:dyDescent="0.25">
      <c r="B6" s="268" t="s">
        <v>107</v>
      </c>
      <c r="C6" s="268"/>
      <c r="D6" s="268"/>
      <c r="E6" s="268"/>
      <c r="F6" s="268"/>
      <c r="G6" s="268"/>
      <c r="H6" s="268"/>
      <c r="I6" s="14"/>
    </row>
    <row r="7" spans="2:14" ht="13.8" thickBot="1" x14ac:dyDescent="0.3">
      <c r="B7" s="128"/>
    </row>
    <row r="8" spans="2:14" ht="13.8" thickBot="1" x14ac:dyDescent="0.3">
      <c r="B8" s="129">
        <v>1</v>
      </c>
      <c r="C8" s="147">
        <v>2</v>
      </c>
      <c r="D8" s="28"/>
      <c r="E8" s="29">
        <v>3</v>
      </c>
      <c r="F8" s="30"/>
      <c r="G8" s="31">
        <v>4</v>
      </c>
      <c r="H8" s="32">
        <v>5</v>
      </c>
    </row>
    <row r="9" spans="2:14" s="37" customFormat="1" ht="39" customHeight="1" thickBot="1" x14ac:dyDescent="0.3">
      <c r="B9" s="130" t="s">
        <v>108</v>
      </c>
      <c r="C9" s="148" t="s">
        <v>1134</v>
      </c>
      <c r="D9" s="269" t="s">
        <v>109</v>
      </c>
      <c r="E9" s="270"/>
      <c r="F9" s="33"/>
      <c r="G9" s="34" t="s">
        <v>110</v>
      </c>
      <c r="H9" s="35" t="s">
        <v>111</v>
      </c>
      <c r="I9" s="36"/>
    </row>
    <row r="10" spans="2:14" s="41" customFormat="1" ht="15.75" customHeight="1" x14ac:dyDescent="0.25">
      <c r="B10" s="131">
        <v>1</v>
      </c>
      <c r="C10" s="149"/>
      <c r="D10" s="263" t="s">
        <v>324</v>
      </c>
      <c r="E10" s="264"/>
      <c r="F10" s="38"/>
      <c r="G10" s="39"/>
      <c r="H10" s="40"/>
      <c r="I10" s="14"/>
    </row>
    <row r="11" spans="2:14" s="41" customFormat="1" ht="15.6" x14ac:dyDescent="0.25">
      <c r="B11" s="132"/>
      <c r="C11" s="150"/>
      <c r="D11" s="120"/>
      <c r="E11" s="182" t="s">
        <v>1130</v>
      </c>
      <c r="F11" s="123"/>
      <c r="G11" s="57"/>
      <c r="H11" s="10"/>
      <c r="I11" s="14"/>
      <c r="L11"/>
      <c r="M11"/>
      <c r="N11"/>
    </row>
    <row r="12" spans="2:14" s="20" customFormat="1" x14ac:dyDescent="0.25">
      <c r="B12" s="133">
        <v>1.1000000000000001</v>
      </c>
      <c r="C12" s="150"/>
      <c r="D12" s="44" t="s">
        <v>112</v>
      </c>
      <c r="E12" s="48" t="s">
        <v>129</v>
      </c>
      <c r="F12" s="49"/>
      <c r="G12" s="50" t="str">
        <f>VLOOKUP($E$11,$M$505:$AP$508,3,FALSE)</f>
        <v>0574937</v>
      </c>
      <c r="H12" s="9" t="s">
        <v>114</v>
      </c>
      <c r="I12" s="14"/>
    </row>
    <row r="13" spans="2:14" s="20" customFormat="1" x14ac:dyDescent="0.25">
      <c r="B13" s="310">
        <v>1.2</v>
      </c>
      <c r="C13" s="150"/>
      <c r="D13" s="44" t="s">
        <v>112</v>
      </c>
      <c r="E13" s="48" t="s">
        <v>185</v>
      </c>
      <c r="F13" s="49"/>
      <c r="G13" s="50" t="str">
        <f>VLOOKUP($E$11,$M$505:$AP$508,2,FALSE)</f>
        <v>D-DT-6259</v>
      </c>
      <c r="H13" s="7" t="s">
        <v>114</v>
      </c>
      <c r="I13" s="14"/>
    </row>
    <row r="14" spans="2:14" s="20" customFormat="1" x14ac:dyDescent="0.25">
      <c r="B14" s="133" t="s">
        <v>305</v>
      </c>
      <c r="C14" s="150" t="s">
        <v>339</v>
      </c>
      <c r="D14" s="44" t="s">
        <v>112</v>
      </c>
      <c r="E14" s="48" t="s">
        <v>306</v>
      </c>
      <c r="F14" s="49"/>
      <c r="G14" s="156" t="str">
        <f>VLOOKUP($E$11,$M$505:$AP$508,27,FALSE)</f>
        <v>Feeder</v>
      </c>
      <c r="H14" s="7" t="s">
        <v>114</v>
      </c>
      <c r="I14" s="14"/>
    </row>
    <row r="15" spans="2:14" s="20" customFormat="1" x14ac:dyDescent="0.25">
      <c r="B15" s="133" t="s">
        <v>320</v>
      </c>
      <c r="C15" s="150" t="s">
        <v>329</v>
      </c>
      <c r="D15" s="44" t="s">
        <v>112</v>
      </c>
      <c r="E15" s="48" t="s">
        <v>321</v>
      </c>
      <c r="F15" s="49" t="s">
        <v>117</v>
      </c>
      <c r="G15" s="156">
        <f>VLOOKUP($E$11,$M$505:$AP$508,28,FALSE)</f>
        <v>11</v>
      </c>
      <c r="H15" s="7" t="s">
        <v>114</v>
      </c>
      <c r="I15" s="14"/>
    </row>
    <row r="16" spans="2:14" s="20" customFormat="1" x14ac:dyDescent="0.25">
      <c r="B16" s="133" t="s">
        <v>325</v>
      </c>
      <c r="C16" s="150"/>
      <c r="D16" s="44" t="s">
        <v>112</v>
      </c>
      <c r="E16" s="51" t="s">
        <v>143</v>
      </c>
      <c r="F16" s="46" t="s">
        <v>144</v>
      </c>
      <c r="G16" s="52" t="s">
        <v>145</v>
      </c>
      <c r="H16" s="7" t="s">
        <v>114</v>
      </c>
      <c r="I16" s="14"/>
    </row>
    <row r="17" spans="2:14" x14ac:dyDescent="0.25">
      <c r="B17" s="133" t="s">
        <v>326</v>
      </c>
      <c r="C17" s="150" t="s">
        <v>287</v>
      </c>
      <c r="D17" s="44" t="s">
        <v>112</v>
      </c>
      <c r="E17" s="51" t="s">
        <v>146</v>
      </c>
      <c r="F17" s="46"/>
      <c r="G17" s="52" t="s">
        <v>165</v>
      </c>
      <c r="H17" s="7" t="s">
        <v>114</v>
      </c>
    </row>
    <row r="18" spans="2:14" s="20" customFormat="1" x14ac:dyDescent="0.25">
      <c r="B18" s="133"/>
      <c r="C18" s="150"/>
      <c r="D18" s="53"/>
      <c r="E18" s="22"/>
      <c r="F18" s="54"/>
      <c r="G18" s="55"/>
      <c r="H18" s="8"/>
      <c r="I18" s="14"/>
      <c r="L18" s="122"/>
      <c r="M18"/>
      <c r="N18"/>
    </row>
    <row r="19" spans="2:14" s="41" customFormat="1" ht="15.75" customHeight="1" x14ac:dyDescent="0.25">
      <c r="B19" s="134">
        <v>2</v>
      </c>
      <c r="C19" s="151"/>
      <c r="D19" s="273" t="s">
        <v>188</v>
      </c>
      <c r="E19" s="274"/>
      <c r="F19" s="56"/>
      <c r="G19" s="57"/>
      <c r="H19" s="175"/>
      <c r="I19" s="14"/>
      <c r="L19" s="122"/>
      <c r="M19"/>
      <c r="N19"/>
    </row>
    <row r="20" spans="2:14" ht="15.6" x14ac:dyDescent="0.35">
      <c r="B20" s="133">
        <v>2.1</v>
      </c>
      <c r="C20" s="150">
        <v>4.0999999999999996</v>
      </c>
      <c r="D20" s="44" t="s">
        <v>112</v>
      </c>
      <c r="E20" s="124" t="s">
        <v>190</v>
      </c>
      <c r="F20" s="46" t="s">
        <v>117</v>
      </c>
      <c r="G20" s="52">
        <f>VLOOKUP($E$11,$M$505:$AP$508,4,FALSE)</f>
        <v>12</v>
      </c>
      <c r="H20" s="173"/>
      <c r="L20" s="122"/>
      <c r="M20"/>
      <c r="N20"/>
    </row>
    <row r="21" spans="2:14" x14ac:dyDescent="0.25">
      <c r="B21" s="133">
        <v>2.2000000000000002</v>
      </c>
      <c r="C21" s="150">
        <v>4.0999999999999996</v>
      </c>
      <c r="D21" s="44" t="s">
        <v>112</v>
      </c>
      <c r="E21" s="48" t="s">
        <v>141</v>
      </c>
      <c r="F21" s="49"/>
      <c r="G21" s="125">
        <v>3</v>
      </c>
      <c r="H21" s="172"/>
      <c r="L21" s="122"/>
      <c r="M21"/>
      <c r="N21"/>
    </row>
    <row r="22" spans="2:14" ht="28.8" x14ac:dyDescent="0.25">
      <c r="B22" s="133">
        <v>2.2999999999999998</v>
      </c>
      <c r="C22" s="150">
        <v>4.2</v>
      </c>
      <c r="D22" s="44" t="s">
        <v>112</v>
      </c>
      <c r="E22" s="48" t="s">
        <v>189</v>
      </c>
      <c r="F22" s="49" t="s">
        <v>117</v>
      </c>
      <c r="G22" s="125" t="str">
        <f>VLOOKUP($E$11,$M$505:$AP$508,5,FALSE)</f>
        <v>28/32</v>
      </c>
      <c r="H22" s="172"/>
      <c r="L22" s="122"/>
      <c r="M22"/>
      <c r="N22"/>
    </row>
    <row r="23" spans="2:14" ht="15.6" x14ac:dyDescent="0.25">
      <c r="B23" s="133">
        <v>2.4</v>
      </c>
      <c r="C23" s="150">
        <v>4.2</v>
      </c>
      <c r="D23" s="44" t="s">
        <v>112</v>
      </c>
      <c r="E23" s="48" t="s">
        <v>192</v>
      </c>
      <c r="F23" s="49" t="s">
        <v>117</v>
      </c>
      <c r="G23" s="125" t="str">
        <f>VLOOKUP($E$11,$M$505:$AP$508,6,FALSE)</f>
        <v>95/110</v>
      </c>
      <c r="H23" s="172"/>
      <c r="L23" s="122"/>
      <c r="M23"/>
      <c r="N23"/>
    </row>
    <row r="24" spans="2:14" ht="15.6" x14ac:dyDescent="0.25">
      <c r="B24" s="133">
        <v>2.5</v>
      </c>
      <c r="C24" s="150">
        <v>4.3</v>
      </c>
      <c r="D24" s="44" t="s">
        <v>112</v>
      </c>
      <c r="E24" s="45" t="s">
        <v>196</v>
      </c>
      <c r="F24" s="46" t="s">
        <v>142</v>
      </c>
      <c r="G24" s="125">
        <v>50</v>
      </c>
      <c r="H24" s="173"/>
      <c r="L24" s="122"/>
      <c r="M24"/>
      <c r="N24"/>
    </row>
    <row r="25" spans="2:14" ht="15.6" x14ac:dyDescent="0.25">
      <c r="B25" s="133">
        <v>2.6</v>
      </c>
      <c r="C25" s="150">
        <v>4.4000000000000004</v>
      </c>
      <c r="D25" s="44" t="s">
        <v>112</v>
      </c>
      <c r="E25" s="45" t="s">
        <v>227</v>
      </c>
      <c r="F25" s="46" t="s">
        <v>118</v>
      </c>
      <c r="G25" s="125">
        <f>VLOOKUP($E$11,$M$505:$AP$508,7,FALSE)</f>
        <v>2500</v>
      </c>
      <c r="H25" s="173"/>
      <c r="L25" s="122"/>
      <c r="M25"/>
      <c r="N25"/>
    </row>
    <row r="26" spans="2:14" ht="15.6" x14ac:dyDescent="0.25">
      <c r="B26" s="133">
        <v>2.7</v>
      </c>
      <c r="C26" s="150">
        <v>4.4000000000000004</v>
      </c>
      <c r="D26" s="44" t="s">
        <v>112</v>
      </c>
      <c r="E26" s="45" t="s">
        <v>228</v>
      </c>
      <c r="F26" s="46" t="s">
        <v>118</v>
      </c>
      <c r="G26" s="125">
        <f>VLOOKUP($E$11,$M$505:$AP$508,8,FALSE)</f>
        <v>630</v>
      </c>
      <c r="H26" s="173"/>
      <c r="L26" s="122"/>
      <c r="M26"/>
      <c r="N26"/>
    </row>
    <row r="27" spans="2:14" ht="15.6" x14ac:dyDescent="0.25">
      <c r="B27" s="133">
        <v>2.8</v>
      </c>
      <c r="C27" s="150">
        <v>4.5</v>
      </c>
      <c r="D27" s="44" t="s">
        <v>112</v>
      </c>
      <c r="E27" s="45" t="s">
        <v>199</v>
      </c>
      <c r="F27" s="46" t="s">
        <v>206</v>
      </c>
      <c r="G27" s="125" t="str">
        <f>VLOOKUP($E$11,$M$505:$AP$508,9,FALSE)</f>
        <v>31,5</v>
      </c>
      <c r="H27" s="173"/>
      <c r="L27" s="122"/>
      <c r="M27"/>
      <c r="N27"/>
    </row>
    <row r="28" spans="2:14" ht="15.6" x14ac:dyDescent="0.25">
      <c r="B28" s="133">
        <v>2.9</v>
      </c>
      <c r="C28" s="150">
        <v>4.5999999999999996</v>
      </c>
      <c r="D28" s="44" t="s">
        <v>112</v>
      </c>
      <c r="E28" s="45" t="s">
        <v>200</v>
      </c>
      <c r="F28" s="46" t="s">
        <v>206</v>
      </c>
      <c r="G28" s="156" t="str">
        <f>VLOOKUP($E$11,$M$505:$AP$508,10,FALSE)</f>
        <v>78,75</v>
      </c>
      <c r="H28" s="173"/>
      <c r="L28" s="122"/>
      <c r="M28"/>
      <c r="N28"/>
    </row>
    <row r="29" spans="2:14" ht="28.8" x14ac:dyDescent="0.25">
      <c r="B29" s="133" t="s">
        <v>272</v>
      </c>
      <c r="C29" s="150">
        <v>4.7</v>
      </c>
      <c r="D29" s="44" t="s">
        <v>112</v>
      </c>
      <c r="E29" s="45" t="s">
        <v>205</v>
      </c>
      <c r="F29" s="46" t="s">
        <v>203</v>
      </c>
      <c r="G29" s="125">
        <v>3</v>
      </c>
      <c r="H29" s="173"/>
      <c r="L29" s="122"/>
      <c r="M29"/>
      <c r="N29"/>
    </row>
    <row r="30" spans="2:14" ht="15.6" x14ac:dyDescent="0.25">
      <c r="B30" s="133">
        <v>2.11</v>
      </c>
      <c r="C30" s="150">
        <v>4.7</v>
      </c>
      <c r="D30" s="44" t="s">
        <v>112</v>
      </c>
      <c r="E30" s="45" t="s">
        <v>204</v>
      </c>
      <c r="F30" s="46" t="s">
        <v>203</v>
      </c>
      <c r="G30" s="125">
        <v>1</v>
      </c>
      <c r="H30" s="173"/>
      <c r="L30" s="122"/>
      <c r="M30"/>
      <c r="N30"/>
    </row>
    <row r="31" spans="2:14" ht="28.8" x14ac:dyDescent="0.25">
      <c r="B31" s="133">
        <v>2.12</v>
      </c>
      <c r="C31" s="150">
        <v>4.8</v>
      </c>
      <c r="D31" s="44" t="s">
        <v>112</v>
      </c>
      <c r="E31" s="45" t="s">
        <v>208</v>
      </c>
      <c r="F31" s="46" t="s">
        <v>207</v>
      </c>
      <c r="G31" s="125">
        <v>110</v>
      </c>
      <c r="H31" s="173"/>
      <c r="L31" s="122"/>
      <c r="M31"/>
      <c r="N31"/>
    </row>
    <row r="32" spans="2:14" ht="28.8" x14ac:dyDescent="0.25">
      <c r="B32" s="133">
        <v>2.13</v>
      </c>
      <c r="C32" s="150">
        <v>4.8</v>
      </c>
      <c r="D32" s="44" t="s">
        <v>112</v>
      </c>
      <c r="E32" s="45" t="s">
        <v>209</v>
      </c>
      <c r="F32" s="46" t="s">
        <v>207</v>
      </c>
      <c r="G32" s="125">
        <v>230</v>
      </c>
      <c r="H32" s="253"/>
      <c r="L32" s="122"/>
      <c r="M32"/>
      <c r="N32"/>
    </row>
    <row r="33" spans="2:14" ht="26.4" x14ac:dyDescent="0.25">
      <c r="B33" s="133">
        <v>2.14</v>
      </c>
      <c r="C33" s="150">
        <v>4.9000000000000004</v>
      </c>
      <c r="D33" s="44" t="s">
        <v>112</v>
      </c>
      <c r="E33" s="45" t="s">
        <v>210</v>
      </c>
      <c r="F33" s="46" t="s">
        <v>142</v>
      </c>
      <c r="G33" s="125" t="s">
        <v>222</v>
      </c>
      <c r="H33" s="173"/>
      <c r="L33" s="122"/>
      <c r="M33"/>
      <c r="N33"/>
    </row>
    <row r="34" spans="2:14" ht="26.4" x14ac:dyDescent="0.25">
      <c r="B34" s="133">
        <v>2.15</v>
      </c>
      <c r="C34" s="150">
        <v>4.9000000000000004</v>
      </c>
      <c r="D34" s="44" t="s">
        <v>112</v>
      </c>
      <c r="E34" s="45" t="s">
        <v>221</v>
      </c>
      <c r="F34" s="46" t="s">
        <v>142</v>
      </c>
      <c r="G34" s="125">
        <v>50</v>
      </c>
      <c r="H34" s="253"/>
      <c r="L34" s="122"/>
      <c r="M34"/>
      <c r="N34"/>
    </row>
    <row r="35" spans="2:14" ht="28.8" x14ac:dyDescent="0.25">
      <c r="B35" s="133">
        <v>2.16</v>
      </c>
      <c r="C35" s="150">
        <v>4.101</v>
      </c>
      <c r="D35" s="44" t="s">
        <v>112</v>
      </c>
      <c r="E35" s="45" t="s">
        <v>249</v>
      </c>
      <c r="F35" s="46" t="s">
        <v>206</v>
      </c>
      <c r="G35" s="156" t="str">
        <f>VLOOKUP($E$11,$M$505:$AP$508,11,FALSE)</f>
        <v>31,5</v>
      </c>
      <c r="H35" s="173"/>
      <c r="L35" s="122"/>
      <c r="M35"/>
      <c r="N35"/>
    </row>
    <row r="36" spans="2:14" x14ac:dyDescent="0.25">
      <c r="B36" s="133">
        <v>2.17</v>
      </c>
      <c r="C36" s="150">
        <v>4.1020000000000003</v>
      </c>
      <c r="D36" s="44" t="s">
        <v>112</v>
      </c>
      <c r="E36" s="45" t="s">
        <v>302</v>
      </c>
      <c r="F36" s="46"/>
      <c r="G36" s="126" t="str">
        <f>VLOOKUP($E$11,$M$505:$AP$508,26,FALSE)</f>
        <v>Class S1</v>
      </c>
      <c r="H36" s="173"/>
      <c r="L36" s="122"/>
      <c r="M36"/>
      <c r="N36"/>
    </row>
    <row r="37" spans="2:14" ht="15.6" x14ac:dyDescent="0.25">
      <c r="B37" s="133">
        <v>2.1800000000000002</v>
      </c>
      <c r="C37" s="150">
        <v>4.1020000000000003</v>
      </c>
      <c r="D37" s="44" t="s">
        <v>112</v>
      </c>
      <c r="E37" s="45" t="s">
        <v>248</v>
      </c>
      <c r="F37" s="46"/>
      <c r="G37" s="126" t="str">
        <f>VLOOKUP($E$11,$M$505:$AP$508,12,FALSE)</f>
        <v>1,5</v>
      </c>
      <c r="H37" s="209"/>
      <c r="L37" s="122"/>
      <c r="M37"/>
      <c r="N37"/>
    </row>
    <row r="38" spans="2:14" ht="26.4" x14ac:dyDescent="0.25">
      <c r="B38" s="133">
        <v>2.19</v>
      </c>
      <c r="C38" s="150">
        <v>4.1020000000000003</v>
      </c>
      <c r="D38" s="44" t="s">
        <v>112</v>
      </c>
      <c r="E38" s="45" t="s">
        <v>212</v>
      </c>
      <c r="F38" s="46"/>
      <c r="G38" s="126" t="str">
        <f>VLOOKUP($E$11,$M$505:$AP$508,13,FALSE)</f>
        <v>SANS 62271-100 Table 1</v>
      </c>
      <c r="H38" s="173"/>
      <c r="L38" s="122"/>
      <c r="M38"/>
      <c r="N38"/>
    </row>
    <row r="39" spans="2:14" ht="26.4" x14ac:dyDescent="0.25">
      <c r="B39" s="133" t="s">
        <v>239</v>
      </c>
      <c r="C39" s="150">
        <v>4.1029999999999998</v>
      </c>
      <c r="D39" s="44" t="s">
        <v>112</v>
      </c>
      <c r="E39" s="45" t="s">
        <v>247</v>
      </c>
      <c r="F39" s="46" t="s">
        <v>206</v>
      </c>
      <c r="G39" s="156" t="str">
        <f>VLOOKUP($E$11,$M$505:$AP$508,14,FALSE)</f>
        <v>78,75</v>
      </c>
      <c r="H39" s="173"/>
      <c r="L39" s="122"/>
      <c r="M39"/>
      <c r="N39"/>
    </row>
    <row r="40" spans="2:14" x14ac:dyDescent="0.25">
      <c r="B40" s="133" t="s">
        <v>240</v>
      </c>
      <c r="C40" s="150" t="s">
        <v>276</v>
      </c>
      <c r="D40" s="44" t="s">
        <v>112</v>
      </c>
      <c r="E40" s="45" t="s">
        <v>245</v>
      </c>
      <c r="F40" s="46"/>
      <c r="G40" s="126" t="str">
        <f>VLOOKUP($E$11,$M$505:$AP$508,15,FALSE)</f>
        <v xml:space="preserve">O-0,3s-CO-3m-CO </v>
      </c>
      <c r="H40" s="173"/>
      <c r="L40" s="122"/>
      <c r="M40"/>
      <c r="N40"/>
    </row>
    <row r="41" spans="2:14" ht="12.75" customHeight="1" x14ac:dyDescent="0.25">
      <c r="B41" s="133" t="s">
        <v>241</v>
      </c>
      <c r="C41" s="150" t="s">
        <v>276</v>
      </c>
      <c r="D41" s="44" t="s">
        <v>112</v>
      </c>
      <c r="E41" s="45" t="s">
        <v>273</v>
      </c>
      <c r="F41" s="46" t="s">
        <v>274</v>
      </c>
      <c r="G41" s="126" t="s">
        <v>114</v>
      </c>
      <c r="H41" s="173"/>
      <c r="L41" s="122"/>
      <c r="M41"/>
      <c r="N41"/>
    </row>
    <row r="42" spans="2:14" x14ac:dyDescent="0.25">
      <c r="B42" s="133" t="s">
        <v>242</v>
      </c>
      <c r="C42" s="150">
        <v>4.1050000000000004</v>
      </c>
      <c r="D42" s="44" t="s">
        <v>112</v>
      </c>
      <c r="E42" s="45" t="s">
        <v>232</v>
      </c>
      <c r="F42" s="46"/>
      <c r="G42" s="126" t="s">
        <v>195</v>
      </c>
      <c r="H42" s="173"/>
      <c r="L42" s="122"/>
      <c r="M42"/>
      <c r="N42"/>
    </row>
    <row r="43" spans="2:14" ht="26.4" x14ac:dyDescent="0.25">
      <c r="B43" s="133" t="s">
        <v>252</v>
      </c>
      <c r="C43" s="150">
        <v>4.1059999999999999</v>
      </c>
      <c r="D43" s="44" t="s">
        <v>112</v>
      </c>
      <c r="E43" s="45" t="s">
        <v>233</v>
      </c>
      <c r="F43" s="46" t="s">
        <v>206</v>
      </c>
      <c r="G43" s="126" t="s">
        <v>114</v>
      </c>
      <c r="H43" s="209"/>
      <c r="L43" s="122"/>
      <c r="M43"/>
      <c r="N43"/>
    </row>
    <row r="44" spans="2:14" ht="26.4" x14ac:dyDescent="0.25">
      <c r="B44" s="133" t="s">
        <v>253</v>
      </c>
      <c r="C44" s="150">
        <v>4.1070000000000002</v>
      </c>
      <c r="D44" s="44" t="s">
        <v>112</v>
      </c>
      <c r="E44" s="45" t="s">
        <v>124</v>
      </c>
      <c r="F44" s="46"/>
      <c r="G44" s="126" t="str">
        <f>VLOOKUP($E$11,$M$505:$AP$508,16,FALSE)</f>
        <v>Class C2</v>
      </c>
      <c r="H44" s="173"/>
      <c r="L44" s="122"/>
      <c r="M44"/>
      <c r="N44"/>
    </row>
    <row r="45" spans="2:14" ht="26.4" x14ac:dyDescent="0.25">
      <c r="B45" s="133" t="s">
        <v>254</v>
      </c>
      <c r="C45" s="150">
        <v>4.1070000000000002</v>
      </c>
      <c r="D45" s="44" t="s">
        <v>112</v>
      </c>
      <c r="E45" s="45" t="s">
        <v>243</v>
      </c>
      <c r="F45" s="46" t="s">
        <v>118</v>
      </c>
      <c r="G45" s="125">
        <f>VLOOKUP($E$11,$M$505:$AP$508,17,FALSE)</f>
        <v>10</v>
      </c>
      <c r="H45" s="254"/>
      <c r="L45" s="122"/>
      <c r="M45"/>
      <c r="N45"/>
    </row>
    <row r="46" spans="2:14" ht="26.4" x14ac:dyDescent="0.25">
      <c r="B46" s="133" t="s">
        <v>255</v>
      </c>
      <c r="C46" s="150">
        <v>4.1070000000000002</v>
      </c>
      <c r="D46" s="44" t="s">
        <v>112</v>
      </c>
      <c r="E46" s="45" t="s">
        <v>244</v>
      </c>
      <c r="F46" s="46" t="s">
        <v>118</v>
      </c>
      <c r="G46" s="156">
        <f>VLOOKUP($E$11,$M$505:$AP$508,18,FALSE)</f>
        <v>25</v>
      </c>
      <c r="H46" s="209"/>
      <c r="L46" s="122"/>
      <c r="M46"/>
      <c r="N46"/>
    </row>
    <row r="47" spans="2:14" ht="26.4" x14ac:dyDescent="0.25">
      <c r="B47" s="133" t="s">
        <v>256</v>
      </c>
      <c r="C47" s="150">
        <v>4.1070000000000002</v>
      </c>
      <c r="D47" s="44" t="s">
        <v>112</v>
      </c>
      <c r="E47" s="45" t="s">
        <v>246</v>
      </c>
      <c r="F47" s="46"/>
      <c r="G47" s="126" t="str">
        <f>VLOOKUP($E$11,$M$505:$AP$508,19,FALSE)</f>
        <v>xxxxxxxxxx</v>
      </c>
      <c r="H47" s="210"/>
      <c r="L47" s="122"/>
      <c r="M47"/>
      <c r="N47"/>
    </row>
    <row r="48" spans="2:14" ht="26.4" x14ac:dyDescent="0.25">
      <c r="B48" s="133" t="s">
        <v>257</v>
      </c>
      <c r="C48" s="150">
        <v>4.1070000000000002</v>
      </c>
      <c r="D48" s="44" t="s">
        <v>112</v>
      </c>
      <c r="E48" s="45" t="s">
        <v>258</v>
      </c>
      <c r="F48" s="46" t="s">
        <v>118</v>
      </c>
      <c r="G48" s="125">
        <f>VLOOKUP($E$11,$M$505:$AP$508,20,FALSE)</f>
        <v>400</v>
      </c>
      <c r="H48" s="210"/>
      <c r="L48" s="122"/>
      <c r="M48"/>
      <c r="N48"/>
    </row>
    <row r="49" spans="2:14" ht="26.4" x14ac:dyDescent="0.25">
      <c r="B49" s="133" t="s">
        <v>289</v>
      </c>
      <c r="C49" s="150">
        <v>4.1070000000000002</v>
      </c>
      <c r="D49" s="44" t="s">
        <v>112</v>
      </c>
      <c r="E49" s="45" t="s">
        <v>259</v>
      </c>
      <c r="F49" s="46" t="s">
        <v>118</v>
      </c>
      <c r="G49" s="125">
        <f>VLOOKUP($E$11,$M$505:$AP$508,21,FALSE)</f>
        <v>400</v>
      </c>
      <c r="H49" s="210"/>
      <c r="L49" s="122"/>
      <c r="M49"/>
      <c r="N49"/>
    </row>
    <row r="50" spans="2:14" ht="26.4" x14ac:dyDescent="0.25">
      <c r="B50" s="133" t="s">
        <v>290</v>
      </c>
      <c r="C50" s="150">
        <v>4.1070000000000002</v>
      </c>
      <c r="D50" s="44" t="s">
        <v>112</v>
      </c>
      <c r="E50" s="45" t="s">
        <v>260</v>
      </c>
      <c r="F50" s="46" t="s">
        <v>206</v>
      </c>
      <c r="G50" s="125">
        <f>VLOOKUP($E$11,$M$505:$AP$508,22,FALSE)</f>
        <v>20</v>
      </c>
      <c r="H50" s="209"/>
      <c r="L50" s="122"/>
      <c r="M50"/>
      <c r="N50"/>
    </row>
    <row r="51" spans="2:14" x14ac:dyDescent="0.25">
      <c r="B51" s="133" t="s">
        <v>291</v>
      </c>
      <c r="C51" s="150">
        <v>4.1079999999999997</v>
      </c>
      <c r="D51" s="44" t="s">
        <v>112</v>
      </c>
      <c r="E51" s="45" t="s">
        <v>251</v>
      </c>
      <c r="F51" s="46"/>
      <c r="G51" s="126" t="s">
        <v>114</v>
      </c>
      <c r="H51" s="173"/>
      <c r="L51" s="122"/>
      <c r="M51"/>
      <c r="N51"/>
    </row>
    <row r="52" spans="2:14" x14ac:dyDescent="0.25">
      <c r="B52" s="133" t="s">
        <v>292</v>
      </c>
      <c r="C52" s="150">
        <v>4.109</v>
      </c>
      <c r="D52" s="44" t="s">
        <v>112</v>
      </c>
      <c r="E52" s="45" t="s">
        <v>265</v>
      </c>
      <c r="F52" s="46" t="s">
        <v>173</v>
      </c>
      <c r="G52" s="126" t="s">
        <v>114</v>
      </c>
      <c r="H52" s="173"/>
      <c r="L52" s="122"/>
      <c r="M52"/>
      <c r="N52"/>
    </row>
    <row r="53" spans="2:14" x14ac:dyDescent="0.25">
      <c r="B53" s="133" t="s">
        <v>293</v>
      </c>
      <c r="C53" s="150">
        <v>4.109</v>
      </c>
      <c r="D53" s="44" t="s">
        <v>112</v>
      </c>
      <c r="E53" s="45" t="s">
        <v>266</v>
      </c>
      <c r="F53" s="46" t="s">
        <v>173</v>
      </c>
      <c r="G53" s="126" t="s">
        <v>114</v>
      </c>
      <c r="H53" s="173"/>
      <c r="L53" s="122"/>
      <c r="M53"/>
      <c r="N53"/>
    </row>
    <row r="54" spans="2:14" x14ac:dyDescent="0.25">
      <c r="B54" s="133" t="s">
        <v>294</v>
      </c>
      <c r="C54" s="150">
        <v>4.109</v>
      </c>
      <c r="D54" s="44" t="s">
        <v>112</v>
      </c>
      <c r="E54" s="45" t="s">
        <v>267</v>
      </c>
      <c r="F54" s="46" t="s">
        <v>173</v>
      </c>
      <c r="G54" s="126" t="s">
        <v>114</v>
      </c>
      <c r="H54" s="173"/>
      <c r="L54" s="122"/>
      <c r="M54"/>
      <c r="N54"/>
    </row>
    <row r="55" spans="2:14" x14ac:dyDescent="0.25">
      <c r="B55" s="133" t="s">
        <v>295</v>
      </c>
      <c r="C55" s="150">
        <v>4.109</v>
      </c>
      <c r="D55" s="44" t="s">
        <v>112</v>
      </c>
      <c r="E55" s="45" t="s">
        <v>277</v>
      </c>
      <c r="F55" s="46" t="s">
        <v>173</v>
      </c>
      <c r="G55" s="126" t="s">
        <v>114</v>
      </c>
      <c r="H55" s="173"/>
      <c r="L55" s="122"/>
      <c r="M55"/>
      <c r="N55"/>
    </row>
    <row r="56" spans="2:14" x14ac:dyDescent="0.25">
      <c r="B56" s="133" t="s">
        <v>301</v>
      </c>
      <c r="C56" s="150">
        <v>4.109</v>
      </c>
      <c r="D56" s="44" t="s">
        <v>112</v>
      </c>
      <c r="E56" s="45" t="s">
        <v>278</v>
      </c>
      <c r="F56" s="46" t="s">
        <v>173</v>
      </c>
      <c r="G56" s="126" t="s">
        <v>114</v>
      </c>
      <c r="H56" s="173"/>
      <c r="L56" s="122"/>
      <c r="M56"/>
      <c r="N56"/>
    </row>
    <row r="57" spans="2:14" x14ac:dyDescent="0.25">
      <c r="B57" s="133" t="s">
        <v>275</v>
      </c>
      <c r="C57" s="150">
        <v>4.109</v>
      </c>
      <c r="D57" s="44" t="s">
        <v>112</v>
      </c>
      <c r="E57" s="45" t="s">
        <v>279</v>
      </c>
      <c r="F57" s="46" t="s">
        <v>173</v>
      </c>
      <c r="G57" s="126" t="s">
        <v>114</v>
      </c>
      <c r="H57" s="173"/>
      <c r="L57" s="122"/>
      <c r="M57"/>
      <c r="N57"/>
    </row>
    <row r="58" spans="2:14" x14ac:dyDescent="0.25">
      <c r="B58" s="133" t="s">
        <v>281</v>
      </c>
      <c r="C58" s="150">
        <v>4.109</v>
      </c>
      <c r="D58" s="44" t="s">
        <v>112</v>
      </c>
      <c r="E58" s="45" t="s">
        <v>280</v>
      </c>
      <c r="F58" s="46" t="s">
        <v>173</v>
      </c>
      <c r="G58" s="126" t="s">
        <v>114</v>
      </c>
      <c r="H58" s="173"/>
      <c r="L58" s="122"/>
      <c r="M58"/>
      <c r="N58"/>
    </row>
    <row r="59" spans="2:14" x14ac:dyDescent="0.25">
      <c r="B59" s="133" t="s">
        <v>282</v>
      </c>
      <c r="C59" s="150" t="s">
        <v>264</v>
      </c>
      <c r="D59" s="44" t="s">
        <v>112</v>
      </c>
      <c r="E59" s="45" t="s">
        <v>250</v>
      </c>
      <c r="F59" s="46"/>
      <c r="G59" s="126" t="str">
        <f>VLOOKUP($E$11,$M$505:$AP$508,23,FALSE)</f>
        <v>Class M2</v>
      </c>
      <c r="H59" s="173"/>
      <c r="L59" s="122"/>
      <c r="M59"/>
      <c r="N59"/>
    </row>
    <row r="60" spans="2:14" x14ac:dyDescent="0.25">
      <c r="B60" s="133" t="s">
        <v>283</v>
      </c>
      <c r="C60" s="150" t="s">
        <v>264</v>
      </c>
      <c r="D60" s="44" t="s">
        <v>112</v>
      </c>
      <c r="E60" s="45" t="s">
        <v>262</v>
      </c>
      <c r="F60" s="46"/>
      <c r="G60" s="125">
        <f>VLOOKUP($E$11,$M$505:$AP$508,24,FALSE)</f>
        <v>10000</v>
      </c>
      <c r="H60" s="173"/>
      <c r="L60" s="122"/>
      <c r="M60"/>
      <c r="N60"/>
    </row>
    <row r="61" spans="2:14" x14ac:dyDescent="0.25">
      <c r="B61" s="133" t="s">
        <v>284</v>
      </c>
      <c r="C61" s="150" t="s">
        <v>264</v>
      </c>
      <c r="D61" s="44" t="s">
        <v>112</v>
      </c>
      <c r="E61" s="45" t="s">
        <v>930</v>
      </c>
      <c r="F61" s="46"/>
      <c r="G61" s="126" t="s">
        <v>270</v>
      </c>
      <c r="H61" s="173"/>
      <c r="L61" s="122"/>
      <c r="M61"/>
      <c r="N61"/>
    </row>
    <row r="62" spans="2:14" x14ac:dyDescent="0.25">
      <c r="B62" s="133" t="s">
        <v>932</v>
      </c>
      <c r="C62" s="150" t="s">
        <v>264</v>
      </c>
      <c r="D62" s="44" t="s">
        <v>112</v>
      </c>
      <c r="E62" s="45" t="s">
        <v>929</v>
      </c>
      <c r="F62" s="46"/>
      <c r="G62" s="125">
        <v>2000</v>
      </c>
      <c r="H62" s="173"/>
      <c r="L62" s="122"/>
      <c r="M62"/>
      <c r="N62"/>
    </row>
    <row r="63" spans="2:14" ht="26.4" x14ac:dyDescent="0.25">
      <c r="B63" s="133" t="s">
        <v>933</v>
      </c>
      <c r="C63" s="150" t="s">
        <v>300</v>
      </c>
      <c r="D63" s="44" t="s">
        <v>112</v>
      </c>
      <c r="E63" s="45" t="s">
        <v>296</v>
      </c>
      <c r="F63" s="46"/>
      <c r="G63" s="125" t="str">
        <f>VLOOKUP($E$11,$M$505:$AP$508,25,FALSE)</f>
        <v>Class E2 (with auto-reclosing)</v>
      </c>
      <c r="H63" s="173"/>
      <c r="L63" s="122"/>
      <c r="M63"/>
      <c r="N63"/>
    </row>
    <row r="64" spans="2:14" s="20" customFormat="1" x14ac:dyDescent="0.25">
      <c r="B64" s="135"/>
      <c r="C64" s="152"/>
      <c r="D64" s="53"/>
      <c r="E64" s="22"/>
      <c r="F64" s="54"/>
      <c r="G64" s="55"/>
      <c r="H64" s="174"/>
      <c r="I64" s="14"/>
      <c r="L64" s="122"/>
      <c r="M64"/>
      <c r="N64"/>
    </row>
    <row r="65" spans="2:14" s="41" customFormat="1" ht="15.75" customHeight="1" x14ac:dyDescent="0.25">
      <c r="B65" s="132">
        <v>3</v>
      </c>
      <c r="C65" s="150" t="s">
        <v>311</v>
      </c>
      <c r="D65" s="278" t="s">
        <v>323</v>
      </c>
      <c r="E65" s="279"/>
      <c r="F65" s="280"/>
      <c r="G65" s="57"/>
      <c r="H65" s="175"/>
      <c r="I65" s="14"/>
      <c r="L65" s="122"/>
      <c r="M65"/>
      <c r="N65"/>
    </row>
    <row r="66" spans="2:14" x14ac:dyDescent="0.25">
      <c r="B66" s="133">
        <v>3.1</v>
      </c>
      <c r="C66" s="150" t="s">
        <v>288</v>
      </c>
      <c r="D66" s="44" t="s">
        <v>112</v>
      </c>
      <c r="E66" s="51" t="s">
        <v>327</v>
      </c>
      <c r="F66" s="46"/>
      <c r="G66" s="52" t="s">
        <v>328</v>
      </c>
      <c r="H66" s="173"/>
      <c r="L66" s="122"/>
      <c r="M66"/>
      <c r="N66"/>
    </row>
    <row r="67" spans="2:14" x14ac:dyDescent="0.25">
      <c r="B67" s="133">
        <v>3.1</v>
      </c>
      <c r="C67" s="150" t="s">
        <v>288</v>
      </c>
      <c r="D67" s="44" t="s">
        <v>112</v>
      </c>
      <c r="E67" s="51" t="s">
        <v>138</v>
      </c>
      <c r="F67" s="46" t="s">
        <v>119</v>
      </c>
      <c r="G67" s="58" t="s">
        <v>163</v>
      </c>
      <c r="H67" s="211"/>
      <c r="L67" s="122"/>
      <c r="M67"/>
      <c r="N67"/>
    </row>
    <row r="68" spans="2:14" x14ac:dyDescent="0.25">
      <c r="B68" s="133" t="s">
        <v>315</v>
      </c>
      <c r="C68" s="150" t="s">
        <v>288</v>
      </c>
      <c r="D68" s="44" t="s">
        <v>112</v>
      </c>
      <c r="E68" s="51" t="s">
        <v>161</v>
      </c>
      <c r="F68" s="46" t="s">
        <v>140</v>
      </c>
      <c r="G68" s="52" t="s">
        <v>162</v>
      </c>
      <c r="H68" s="173"/>
      <c r="L68" s="122"/>
      <c r="M68"/>
      <c r="N68"/>
    </row>
    <row r="69" spans="2:14" x14ac:dyDescent="0.25">
      <c r="B69" s="133" t="s">
        <v>316</v>
      </c>
      <c r="C69" s="150" t="s">
        <v>288</v>
      </c>
      <c r="D69" s="44" t="s">
        <v>112</v>
      </c>
      <c r="E69" s="51" t="s">
        <v>312</v>
      </c>
      <c r="F69" s="46"/>
      <c r="G69" s="52" t="s">
        <v>314</v>
      </c>
      <c r="H69" s="173"/>
      <c r="L69" s="122"/>
      <c r="M69"/>
      <c r="N69"/>
    </row>
    <row r="70" spans="2:14" x14ac:dyDescent="0.25">
      <c r="B70" s="133" t="s">
        <v>317</v>
      </c>
      <c r="C70" s="150" t="s">
        <v>288</v>
      </c>
      <c r="D70" s="44" t="s">
        <v>112</v>
      </c>
      <c r="E70" s="51" t="s">
        <v>139</v>
      </c>
      <c r="F70" s="46" t="s">
        <v>116</v>
      </c>
      <c r="G70" s="52" t="s">
        <v>164</v>
      </c>
      <c r="H70" s="173"/>
      <c r="L70" s="122"/>
      <c r="M70"/>
      <c r="N70"/>
    </row>
    <row r="71" spans="2:14" x14ac:dyDescent="0.25">
      <c r="B71" s="133" t="s">
        <v>318</v>
      </c>
      <c r="C71" s="150" t="s">
        <v>288</v>
      </c>
      <c r="D71" s="44" t="s">
        <v>112</v>
      </c>
      <c r="E71" s="51" t="s">
        <v>313</v>
      </c>
      <c r="F71" s="46"/>
      <c r="G71" s="52" t="s">
        <v>113</v>
      </c>
      <c r="H71" s="173"/>
      <c r="L71" s="122"/>
      <c r="M71"/>
      <c r="N71"/>
    </row>
    <row r="72" spans="2:14" s="20" customFormat="1" x14ac:dyDescent="0.25">
      <c r="B72" s="136"/>
      <c r="C72" s="152"/>
      <c r="D72" s="59"/>
      <c r="E72" s="19"/>
      <c r="F72" s="60"/>
      <c r="G72" s="61"/>
      <c r="H72" s="176"/>
      <c r="I72" s="14"/>
      <c r="L72" s="122"/>
      <c r="M72"/>
      <c r="N72"/>
    </row>
    <row r="73" spans="2:14" s="41" customFormat="1" ht="15.75" customHeight="1" x14ac:dyDescent="0.25">
      <c r="B73" s="132">
        <v>4</v>
      </c>
      <c r="C73" s="150" t="s">
        <v>319</v>
      </c>
      <c r="D73" s="273" t="s">
        <v>137</v>
      </c>
      <c r="E73" s="274"/>
      <c r="F73" s="275"/>
      <c r="G73" s="43"/>
      <c r="H73" s="177"/>
      <c r="I73" s="14"/>
      <c r="L73" s="122"/>
      <c r="M73"/>
      <c r="N73"/>
    </row>
    <row r="74" spans="2:14" ht="26.4" x14ac:dyDescent="0.25">
      <c r="B74" s="133" t="s">
        <v>329</v>
      </c>
      <c r="C74" s="150" t="s">
        <v>336</v>
      </c>
      <c r="D74" s="44" t="s">
        <v>112</v>
      </c>
      <c r="E74" s="51" t="s">
        <v>931</v>
      </c>
      <c r="F74" s="46"/>
      <c r="G74" s="52" t="s">
        <v>113</v>
      </c>
      <c r="H74" s="173"/>
    </row>
    <row r="75" spans="2:14" x14ac:dyDescent="0.25">
      <c r="B75" s="133" t="s">
        <v>330</v>
      </c>
      <c r="C75" s="150" t="s">
        <v>337</v>
      </c>
      <c r="D75" s="44" t="s">
        <v>112</v>
      </c>
      <c r="E75" s="51" t="s">
        <v>934</v>
      </c>
      <c r="F75" s="46"/>
      <c r="G75" s="192" t="s">
        <v>114</v>
      </c>
      <c r="H75" s="253"/>
    </row>
    <row r="76" spans="2:14" x14ac:dyDescent="0.25">
      <c r="B76" s="133" t="s">
        <v>331</v>
      </c>
      <c r="C76" s="150" t="s">
        <v>337</v>
      </c>
      <c r="D76" s="44" t="s">
        <v>112</v>
      </c>
      <c r="E76" s="51" t="s">
        <v>947</v>
      </c>
      <c r="F76" s="46" t="s">
        <v>936</v>
      </c>
      <c r="G76" s="192" t="s">
        <v>935</v>
      </c>
      <c r="H76" s="173"/>
    </row>
    <row r="77" spans="2:14" x14ac:dyDescent="0.25">
      <c r="B77" s="133" t="s">
        <v>332</v>
      </c>
      <c r="C77" s="150"/>
      <c r="D77" s="44" t="s">
        <v>112</v>
      </c>
      <c r="E77" s="51" t="s">
        <v>428</v>
      </c>
      <c r="F77" s="46"/>
      <c r="G77" s="52" t="s">
        <v>114</v>
      </c>
      <c r="H77" s="173"/>
    </row>
    <row r="78" spans="2:14" x14ac:dyDescent="0.25">
      <c r="B78" s="133" t="s">
        <v>333</v>
      </c>
      <c r="C78" s="150"/>
      <c r="D78" s="44" t="s">
        <v>112</v>
      </c>
      <c r="E78" s="51" t="s">
        <v>1136</v>
      </c>
      <c r="F78" s="46"/>
      <c r="G78" s="52" t="s">
        <v>114</v>
      </c>
      <c r="H78" s="253"/>
    </row>
    <row r="79" spans="2:14" x14ac:dyDescent="0.25">
      <c r="B79" s="133" t="s">
        <v>334</v>
      </c>
      <c r="C79" s="150"/>
      <c r="D79" s="44" t="s">
        <v>112</v>
      </c>
      <c r="E79" s="51" t="s">
        <v>1137</v>
      </c>
      <c r="F79" s="46"/>
      <c r="G79" s="52" t="s">
        <v>114</v>
      </c>
      <c r="H79" s="253"/>
    </row>
    <row r="80" spans="2:14" x14ac:dyDescent="0.25">
      <c r="B80" s="133" t="s">
        <v>345</v>
      </c>
      <c r="C80" s="150"/>
      <c r="D80" s="44" t="s">
        <v>112</v>
      </c>
      <c r="E80" s="51" t="s">
        <v>429</v>
      </c>
      <c r="F80" s="46" t="s">
        <v>121</v>
      </c>
      <c r="G80" s="52" t="s">
        <v>114</v>
      </c>
      <c r="H80" s="173"/>
    </row>
    <row r="81" spans="2:8" x14ac:dyDescent="0.25">
      <c r="B81" s="133" t="s">
        <v>414</v>
      </c>
      <c r="C81" s="150" t="s">
        <v>338</v>
      </c>
      <c r="D81" s="44" t="s">
        <v>112</v>
      </c>
      <c r="E81" s="51" t="s">
        <v>944</v>
      </c>
      <c r="F81" s="46"/>
      <c r="G81" s="125" t="str">
        <f>IF($G$14="VT Panel","N/A","Yes")</f>
        <v>Yes</v>
      </c>
      <c r="H81" s="173"/>
    </row>
    <row r="82" spans="2:8" x14ac:dyDescent="0.25">
      <c r="B82" s="133" t="s">
        <v>415</v>
      </c>
      <c r="C82" s="150"/>
      <c r="D82" s="44"/>
      <c r="E82" s="63" t="s">
        <v>655</v>
      </c>
      <c r="F82" s="46"/>
      <c r="G82" s="52" t="s">
        <v>114</v>
      </c>
      <c r="H82" s="173"/>
    </row>
    <row r="83" spans="2:8" x14ac:dyDescent="0.25">
      <c r="B83" s="133" t="s">
        <v>416</v>
      </c>
      <c r="C83" s="150"/>
      <c r="D83" s="44"/>
      <c r="E83" s="63" t="s">
        <v>1138</v>
      </c>
      <c r="F83" s="46"/>
      <c r="G83" s="52" t="s">
        <v>114</v>
      </c>
      <c r="H83" s="253"/>
    </row>
    <row r="84" spans="2:8" x14ac:dyDescent="0.25">
      <c r="B84" s="133" t="s">
        <v>417</v>
      </c>
      <c r="C84" s="150"/>
      <c r="D84" s="44"/>
      <c r="E84" s="63" t="s">
        <v>1139</v>
      </c>
      <c r="F84" s="46"/>
      <c r="G84" s="52" t="s">
        <v>114</v>
      </c>
      <c r="H84" s="173"/>
    </row>
    <row r="85" spans="2:8" x14ac:dyDescent="0.25">
      <c r="B85" s="133" t="s">
        <v>430</v>
      </c>
      <c r="C85" s="150" t="s">
        <v>335</v>
      </c>
      <c r="D85" s="44"/>
      <c r="E85" s="63" t="s">
        <v>945</v>
      </c>
      <c r="F85" s="46"/>
      <c r="G85" s="125" t="str">
        <f>IF($G$14="VT Panel","N/A","3-pole operated")</f>
        <v>3-pole operated</v>
      </c>
      <c r="H85" s="173"/>
    </row>
    <row r="86" spans="2:8" x14ac:dyDescent="0.25">
      <c r="B86" s="133" t="s">
        <v>431</v>
      </c>
      <c r="C86" s="150" t="s">
        <v>335</v>
      </c>
      <c r="D86" s="44"/>
      <c r="E86" s="63" t="s">
        <v>656</v>
      </c>
      <c r="F86" s="46"/>
      <c r="G86" s="125" t="str">
        <f>IF($G$14="VT Panel","N/A","Yes")</f>
        <v>Yes</v>
      </c>
      <c r="H86" s="173"/>
    </row>
    <row r="87" spans="2:8" x14ac:dyDescent="0.25">
      <c r="B87" s="133" t="s">
        <v>432</v>
      </c>
      <c r="C87" s="150" t="s">
        <v>335</v>
      </c>
      <c r="D87" s="44"/>
      <c r="E87" s="63" t="s">
        <v>73</v>
      </c>
      <c r="F87" s="46"/>
      <c r="G87" s="125" t="str">
        <f>IF($G$14="VT Panel","N/A","Spring")</f>
        <v>Spring</v>
      </c>
      <c r="H87" s="173"/>
    </row>
    <row r="88" spans="2:8" ht="32.4" x14ac:dyDescent="0.25">
      <c r="C88" s="150"/>
      <c r="D88" s="44"/>
      <c r="E88" s="72" t="s">
        <v>169</v>
      </c>
      <c r="F88" s="54"/>
      <c r="G88" s="43"/>
      <c r="H88" s="177"/>
    </row>
    <row r="89" spans="2:8" x14ac:dyDescent="0.25">
      <c r="B89" s="133" t="s">
        <v>433</v>
      </c>
      <c r="C89" s="150" t="s">
        <v>335</v>
      </c>
      <c r="D89" s="44"/>
      <c r="E89" s="63" t="s">
        <v>74</v>
      </c>
      <c r="F89" s="46"/>
      <c r="G89" s="52" t="str">
        <f>IF($G$14="VT Panel","N/A","Yes")</f>
        <v>Yes</v>
      </c>
      <c r="H89" s="173"/>
    </row>
    <row r="90" spans="2:8" x14ac:dyDescent="0.25">
      <c r="B90" s="133" t="s">
        <v>434</v>
      </c>
      <c r="C90" s="150" t="s">
        <v>335</v>
      </c>
      <c r="D90" s="44"/>
      <c r="E90" s="63" t="s">
        <v>75</v>
      </c>
      <c r="F90" s="46"/>
      <c r="G90" s="125" t="str">
        <f>IF($G$14="VT Panel","N/A","Yes")</f>
        <v>Yes</v>
      </c>
      <c r="H90" s="173"/>
    </row>
    <row r="91" spans="2:8" ht="26.4" x14ac:dyDescent="0.25">
      <c r="B91" s="133" t="s">
        <v>435</v>
      </c>
      <c r="C91" s="150" t="s">
        <v>937</v>
      </c>
      <c r="D91" s="44"/>
      <c r="E91" s="63" t="s">
        <v>7</v>
      </c>
      <c r="F91" s="46"/>
      <c r="G91" s="125" t="str">
        <f>IF($G$14="VT Panel","N/A","Yes")</f>
        <v>Yes</v>
      </c>
      <c r="H91" s="173"/>
    </row>
    <row r="92" spans="2:8" x14ac:dyDescent="0.25">
      <c r="B92" s="133" t="s">
        <v>654</v>
      </c>
      <c r="C92" s="150" t="s">
        <v>938</v>
      </c>
      <c r="D92" s="44"/>
      <c r="E92" s="63" t="s">
        <v>1140</v>
      </c>
      <c r="F92" s="46"/>
      <c r="G92" s="125" t="str">
        <f>IF($G$14="VT Panel","N/A","Vacuum")</f>
        <v>Vacuum</v>
      </c>
      <c r="H92" s="253"/>
    </row>
    <row r="93" spans="2:8" ht="39.6" x14ac:dyDescent="0.25">
      <c r="B93" s="133" t="s">
        <v>123</v>
      </c>
      <c r="C93" s="150" t="s">
        <v>940</v>
      </c>
      <c r="D93" s="44"/>
      <c r="E93" s="63" t="s">
        <v>939</v>
      </c>
      <c r="F93" s="46"/>
      <c r="G93" s="125" t="str">
        <f>IF($G$14="N/A","N/A","Yes")</f>
        <v>Yes</v>
      </c>
      <c r="H93" s="173"/>
    </row>
    <row r="94" spans="2:8" x14ac:dyDescent="0.25">
      <c r="B94" s="133" t="s">
        <v>942</v>
      </c>
      <c r="C94" s="150" t="s">
        <v>941</v>
      </c>
      <c r="D94" s="44" t="s">
        <v>112</v>
      </c>
      <c r="E94" s="51" t="s">
        <v>946</v>
      </c>
      <c r="F94" s="46"/>
      <c r="G94" s="125" t="s">
        <v>113</v>
      </c>
      <c r="H94" s="173"/>
    </row>
    <row r="95" spans="2:8" x14ac:dyDescent="0.25">
      <c r="B95" s="133" t="s">
        <v>943</v>
      </c>
      <c r="C95" s="150" t="s">
        <v>941</v>
      </c>
      <c r="D95" s="44" t="s">
        <v>112</v>
      </c>
      <c r="E95" s="51" t="s">
        <v>1141</v>
      </c>
      <c r="F95" s="46"/>
      <c r="G95" s="125" t="s">
        <v>114</v>
      </c>
      <c r="H95" s="173"/>
    </row>
    <row r="96" spans="2:8" x14ac:dyDescent="0.25">
      <c r="B96" s="135"/>
      <c r="C96" s="152"/>
      <c r="D96" s="86"/>
      <c r="E96" s="79"/>
      <c r="F96" s="87"/>
      <c r="G96" s="73"/>
      <c r="H96" s="178"/>
    </row>
    <row r="97" spans="2:9" s="41" customFormat="1" ht="15.75" customHeight="1" x14ac:dyDescent="0.25">
      <c r="B97" s="132">
        <v>5</v>
      </c>
      <c r="C97" s="150" t="s">
        <v>339</v>
      </c>
      <c r="D97" s="273" t="s">
        <v>340</v>
      </c>
      <c r="E97" s="274"/>
      <c r="F97" s="275"/>
      <c r="G97" s="43"/>
      <c r="H97" s="177"/>
      <c r="I97" s="14"/>
    </row>
    <row r="98" spans="2:9" x14ac:dyDescent="0.25">
      <c r="B98" s="133" t="s">
        <v>311</v>
      </c>
      <c r="C98" s="150" t="s">
        <v>346</v>
      </c>
      <c r="D98" s="44" t="s">
        <v>112</v>
      </c>
      <c r="E98" s="51" t="s">
        <v>948</v>
      </c>
      <c r="F98" s="46"/>
      <c r="G98" s="192" t="s">
        <v>949</v>
      </c>
      <c r="H98" s="173"/>
    </row>
    <row r="99" spans="2:9" x14ac:dyDescent="0.25">
      <c r="B99" s="133" t="s">
        <v>319</v>
      </c>
      <c r="C99" s="150" t="s">
        <v>339</v>
      </c>
      <c r="D99" s="44" t="s">
        <v>112</v>
      </c>
      <c r="E99" s="51" t="s">
        <v>427</v>
      </c>
      <c r="F99" s="46"/>
      <c r="G99" s="52" t="s">
        <v>114</v>
      </c>
      <c r="H99" s="173"/>
    </row>
    <row r="100" spans="2:9" x14ac:dyDescent="0.25">
      <c r="B100" s="133" t="s">
        <v>339</v>
      </c>
      <c r="C100" s="150" t="s">
        <v>339</v>
      </c>
      <c r="D100" s="44" t="s">
        <v>112</v>
      </c>
      <c r="E100" s="51" t="s">
        <v>426</v>
      </c>
      <c r="F100" s="46"/>
      <c r="G100" s="125" t="str">
        <f>IF($G$14="Bus-section","Circuit-breaker","N/A")</f>
        <v>N/A</v>
      </c>
      <c r="H100" s="173"/>
    </row>
    <row r="101" spans="2:9" ht="52.8" x14ac:dyDescent="0.25">
      <c r="B101" s="133"/>
      <c r="C101" s="150" t="s">
        <v>952</v>
      </c>
      <c r="D101" s="44" t="s">
        <v>112</v>
      </c>
      <c r="E101" s="64" t="s">
        <v>1144</v>
      </c>
      <c r="F101" s="65"/>
      <c r="G101" s="66"/>
      <c r="H101" s="179"/>
    </row>
    <row r="102" spans="2:9" x14ac:dyDescent="0.25">
      <c r="B102" s="133" t="s">
        <v>341</v>
      </c>
      <c r="C102" s="150"/>
      <c r="D102" s="44"/>
      <c r="E102" s="51" t="s">
        <v>1147</v>
      </c>
      <c r="F102" s="46"/>
      <c r="G102" s="52" t="s">
        <v>114</v>
      </c>
      <c r="H102" s="173"/>
    </row>
    <row r="103" spans="2:9" x14ac:dyDescent="0.25">
      <c r="B103" s="133" t="s">
        <v>342</v>
      </c>
      <c r="C103" s="150"/>
      <c r="D103" s="44"/>
      <c r="E103" s="51" t="s">
        <v>1146</v>
      </c>
      <c r="F103" s="46"/>
      <c r="G103" s="52" t="s">
        <v>114</v>
      </c>
      <c r="H103" s="173"/>
    </row>
    <row r="104" spans="2:9" x14ac:dyDescent="0.25">
      <c r="B104" s="133"/>
      <c r="C104" s="150"/>
      <c r="D104" s="44"/>
      <c r="E104" s="51" t="s">
        <v>1145</v>
      </c>
      <c r="F104" s="46"/>
      <c r="G104" s="47" t="s">
        <v>113</v>
      </c>
      <c r="H104" s="173"/>
    </row>
    <row r="105" spans="2:9" x14ac:dyDescent="0.25">
      <c r="B105" s="133" t="s">
        <v>343</v>
      </c>
      <c r="C105" s="150"/>
      <c r="D105" s="44"/>
      <c r="E105" s="51" t="s">
        <v>425</v>
      </c>
      <c r="F105" s="46"/>
      <c r="G105" s="125" t="str">
        <f>IF($G$228="N/A","N/A","Yes")</f>
        <v>Yes</v>
      </c>
      <c r="H105" s="173"/>
    </row>
    <row r="106" spans="2:9" x14ac:dyDescent="0.25">
      <c r="B106" s="133" t="s">
        <v>344</v>
      </c>
      <c r="C106" s="150"/>
      <c r="D106" s="44"/>
      <c r="E106" s="51" t="s">
        <v>424</v>
      </c>
      <c r="F106" s="46"/>
      <c r="G106" s="52" t="s">
        <v>113</v>
      </c>
      <c r="H106" s="173"/>
    </row>
    <row r="107" spans="2:9" ht="26.4" x14ac:dyDescent="0.25">
      <c r="B107" s="133" t="s">
        <v>395</v>
      </c>
      <c r="C107" s="150" t="s">
        <v>951</v>
      </c>
      <c r="D107" s="44" t="s">
        <v>112</v>
      </c>
      <c r="E107" s="51" t="s">
        <v>955</v>
      </c>
      <c r="F107" s="46"/>
      <c r="G107" s="125" t="s">
        <v>950</v>
      </c>
      <c r="H107" s="173"/>
    </row>
    <row r="108" spans="2:9" x14ac:dyDescent="0.25">
      <c r="B108" s="133" t="s">
        <v>437</v>
      </c>
      <c r="C108" s="150" t="s">
        <v>951</v>
      </c>
      <c r="D108" s="44" t="s">
        <v>112</v>
      </c>
      <c r="E108" s="51" t="s">
        <v>954</v>
      </c>
      <c r="F108" s="46"/>
      <c r="G108" s="125" t="s">
        <v>348</v>
      </c>
      <c r="H108" s="173"/>
    </row>
    <row r="109" spans="2:9" x14ac:dyDescent="0.25">
      <c r="B109" s="133" t="s">
        <v>472</v>
      </c>
      <c r="C109" s="150" t="s">
        <v>951</v>
      </c>
      <c r="D109" s="44" t="s">
        <v>112</v>
      </c>
      <c r="E109" s="51" t="s">
        <v>953</v>
      </c>
      <c r="F109" s="46"/>
      <c r="G109" s="125" t="s">
        <v>347</v>
      </c>
      <c r="H109" s="173"/>
    </row>
    <row r="110" spans="2:9" x14ac:dyDescent="0.25">
      <c r="B110" s="135"/>
      <c r="C110" s="152"/>
      <c r="D110" s="86"/>
      <c r="E110" s="79"/>
      <c r="F110" s="87"/>
      <c r="G110" s="73"/>
      <c r="H110" s="178"/>
    </row>
    <row r="111" spans="2:9" s="41" customFormat="1" ht="15.75" customHeight="1" x14ac:dyDescent="0.25">
      <c r="B111" s="132" t="s">
        <v>349</v>
      </c>
      <c r="C111" s="150" t="s">
        <v>341</v>
      </c>
      <c r="D111" s="273" t="s">
        <v>350</v>
      </c>
      <c r="E111" s="274"/>
      <c r="F111" s="275"/>
      <c r="G111" s="43"/>
      <c r="H111" s="177"/>
      <c r="I111" s="14"/>
    </row>
    <row r="112" spans="2:9" x14ac:dyDescent="0.25">
      <c r="B112" s="133" t="s">
        <v>354</v>
      </c>
      <c r="C112" s="150" t="s">
        <v>341</v>
      </c>
      <c r="D112" s="44" t="s">
        <v>112</v>
      </c>
      <c r="E112" s="51" t="s">
        <v>351</v>
      </c>
      <c r="F112" s="46"/>
      <c r="G112" s="192" t="s">
        <v>1135</v>
      </c>
      <c r="H112" s="173"/>
    </row>
    <row r="113" spans="2:9" x14ac:dyDescent="0.25">
      <c r="B113" s="135"/>
      <c r="C113" s="152"/>
      <c r="D113" s="86"/>
      <c r="E113" s="79"/>
      <c r="F113" s="87"/>
      <c r="G113" s="73"/>
      <c r="H113" s="178"/>
    </row>
    <row r="114" spans="2:9" s="41" customFormat="1" ht="15.75" customHeight="1" x14ac:dyDescent="0.25">
      <c r="B114" s="132" t="s">
        <v>355</v>
      </c>
      <c r="C114" s="150" t="s">
        <v>342</v>
      </c>
      <c r="D114" s="273" t="s">
        <v>352</v>
      </c>
      <c r="E114" s="274"/>
      <c r="F114" s="275"/>
      <c r="G114" s="43"/>
      <c r="H114" s="177"/>
      <c r="I114" s="14"/>
    </row>
    <row r="115" spans="2:9" x14ac:dyDescent="0.25">
      <c r="B115" s="133" t="s">
        <v>356</v>
      </c>
      <c r="C115" s="150" t="s">
        <v>342</v>
      </c>
      <c r="D115" s="44" t="s">
        <v>112</v>
      </c>
      <c r="E115" s="51" t="s">
        <v>956</v>
      </c>
      <c r="F115" s="46"/>
      <c r="G115" s="52" t="s">
        <v>353</v>
      </c>
      <c r="H115" s="173"/>
    </row>
    <row r="116" spans="2:9" x14ac:dyDescent="0.25">
      <c r="B116" s="135"/>
      <c r="C116" s="152"/>
      <c r="D116" s="86"/>
      <c r="E116" s="79"/>
      <c r="F116" s="87"/>
      <c r="G116" s="73"/>
      <c r="H116" s="178"/>
    </row>
    <row r="117" spans="2:9" s="41" customFormat="1" ht="15.75" customHeight="1" x14ac:dyDescent="0.25">
      <c r="B117" s="132" t="s">
        <v>358</v>
      </c>
      <c r="C117" s="150" t="s">
        <v>343</v>
      </c>
      <c r="D117" s="273" t="s">
        <v>357</v>
      </c>
      <c r="E117" s="274"/>
      <c r="F117" s="275"/>
      <c r="G117" s="43"/>
      <c r="H117" s="177"/>
      <c r="I117" s="14"/>
    </row>
    <row r="118" spans="2:9" x14ac:dyDescent="0.25">
      <c r="B118" s="133" t="s">
        <v>365</v>
      </c>
      <c r="C118" s="150" t="s">
        <v>408</v>
      </c>
      <c r="D118" s="44" t="s">
        <v>112</v>
      </c>
      <c r="E118" s="51" t="s">
        <v>357</v>
      </c>
      <c r="F118" s="46"/>
      <c r="G118" s="192" t="s">
        <v>359</v>
      </c>
      <c r="H118" s="173"/>
    </row>
    <row r="119" spans="2:9" x14ac:dyDescent="0.25">
      <c r="B119" s="133" t="s">
        <v>366</v>
      </c>
      <c r="C119" s="150" t="s">
        <v>409</v>
      </c>
      <c r="D119" s="44" t="s">
        <v>112</v>
      </c>
      <c r="E119" s="51" t="s">
        <v>360</v>
      </c>
      <c r="F119" s="46" t="s">
        <v>206</v>
      </c>
      <c r="G119" s="125" t="str">
        <f>VLOOKUP($E$11,$M$505:$AP$508,9,FALSE)</f>
        <v>31,5</v>
      </c>
      <c r="H119" s="173"/>
    </row>
    <row r="120" spans="2:9" x14ac:dyDescent="0.25">
      <c r="B120" s="133" t="s">
        <v>367</v>
      </c>
      <c r="C120" s="150" t="s">
        <v>409</v>
      </c>
      <c r="D120" s="44" t="s">
        <v>112</v>
      </c>
      <c r="E120" s="51" t="s">
        <v>361</v>
      </c>
      <c r="F120" s="46" t="s">
        <v>203</v>
      </c>
      <c r="G120" s="125">
        <v>1</v>
      </c>
      <c r="H120" s="173"/>
    </row>
    <row r="121" spans="2:9" x14ac:dyDescent="0.25">
      <c r="B121" s="133" t="s">
        <v>368</v>
      </c>
      <c r="C121" s="150" t="s">
        <v>410</v>
      </c>
      <c r="D121" s="44" t="s">
        <v>112</v>
      </c>
      <c r="E121" s="51" t="s">
        <v>362</v>
      </c>
      <c r="F121" s="46"/>
      <c r="G121" s="125" t="s">
        <v>363</v>
      </c>
      <c r="H121" s="173"/>
    </row>
    <row r="122" spans="2:9" ht="27" customHeight="1" x14ac:dyDescent="0.25">
      <c r="B122" s="133" t="s">
        <v>369</v>
      </c>
      <c r="C122" s="150" t="s">
        <v>957</v>
      </c>
      <c r="D122" s="44" t="s">
        <v>112</v>
      </c>
      <c r="E122" s="51" t="s">
        <v>1142</v>
      </c>
      <c r="F122" s="46" t="s">
        <v>959</v>
      </c>
      <c r="G122" s="125" t="s">
        <v>114</v>
      </c>
      <c r="H122" s="173"/>
    </row>
    <row r="123" spans="2:9" ht="24.75" customHeight="1" x14ac:dyDescent="0.25">
      <c r="B123" s="133" t="s">
        <v>958</v>
      </c>
      <c r="C123" s="150" t="s">
        <v>411</v>
      </c>
      <c r="D123" s="44" t="s">
        <v>112</v>
      </c>
      <c r="E123" s="51" t="s">
        <v>1148</v>
      </c>
      <c r="F123" s="46" t="s">
        <v>959</v>
      </c>
      <c r="G123" s="125" t="s">
        <v>114</v>
      </c>
      <c r="H123" s="173"/>
    </row>
    <row r="124" spans="2:9" x14ac:dyDescent="0.25">
      <c r="B124" s="135"/>
      <c r="C124" s="152"/>
      <c r="D124" s="86"/>
      <c r="E124" s="79"/>
      <c r="F124" s="87"/>
      <c r="G124" s="73"/>
      <c r="H124" s="178"/>
    </row>
    <row r="125" spans="2:9" s="41" customFormat="1" ht="15.75" customHeight="1" x14ac:dyDescent="0.25">
      <c r="B125" s="132" t="s">
        <v>370</v>
      </c>
      <c r="C125" s="150" t="s">
        <v>344</v>
      </c>
      <c r="D125" s="273" t="s">
        <v>371</v>
      </c>
      <c r="E125" s="274"/>
      <c r="F125" s="275"/>
      <c r="G125" s="43"/>
      <c r="H125" s="177"/>
      <c r="I125" s="14"/>
    </row>
    <row r="126" spans="2:9" ht="26.4" x14ac:dyDescent="0.25">
      <c r="B126" s="133" t="s">
        <v>376</v>
      </c>
      <c r="C126" s="150" t="s">
        <v>374</v>
      </c>
      <c r="D126" s="44" t="s">
        <v>112</v>
      </c>
      <c r="E126" s="51" t="s">
        <v>372</v>
      </c>
      <c r="F126" s="46" t="s">
        <v>1143</v>
      </c>
      <c r="G126" s="52">
        <f>VLOOKUP($E$11,$M$505:$AP$508,29,FALSE)</f>
        <v>157.5</v>
      </c>
      <c r="H126" s="173"/>
    </row>
    <row r="127" spans="2:9" x14ac:dyDescent="0.25">
      <c r="B127" s="133" t="s">
        <v>377</v>
      </c>
      <c r="C127" s="150" t="s">
        <v>374</v>
      </c>
      <c r="D127" s="44" t="s">
        <v>112</v>
      </c>
      <c r="E127" s="51" t="s">
        <v>375</v>
      </c>
      <c r="F127" s="46"/>
      <c r="G127" s="125" t="s">
        <v>113</v>
      </c>
      <c r="H127" s="173"/>
    </row>
    <row r="128" spans="2:9" x14ac:dyDescent="0.25">
      <c r="B128" s="133" t="s">
        <v>378</v>
      </c>
      <c r="C128" s="150" t="s">
        <v>380</v>
      </c>
      <c r="D128" s="44" t="s">
        <v>112</v>
      </c>
      <c r="E128" s="51" t="s">
        <v>960</v>
      </c>
      <c r="F128" s="46"/>
      <c r="G128" s="125" t="str">
        <f>IF($G$228="N/A","N/A","circuit-breaker &amp; disconnector / earthing switch")</f>
        <v>circuit-breaker &amp; disconnector / earthing switch</v>
      </c>
      <c r="H128" s="253"/>
    </row>
    <row r="129" spans="2:9" x14ac:dyDescent="0.25">
      <c r="B129" s="133" t="s">
        <v>379</v>
      </c>
      <c r="C129" s="150" t="s">
        <v>380</v>
      </c>
      <c r="D129" s="44" t="s">
        <v>112</v>
      </c>
      <c r="E129" s="51" t="s">
        <v>56</v>
      </c>
      <c r="F129" s="46"/>
      <c r="G129" s="125" t="str">
        <f>IF($G$228="N/A","N/A","Class E1")</f>
        <v>Class E1</v>
      </c>
      <c r="H129" s="253"/>
    </row>
    <row r="130" spans="2:9" ht="51" customHeight="1" x14ac:dyDescent="0.25">
      <c r="B130" s="133" t="s">
        <v>384</v>
      </c>
      <c r="C130" s="150" t="s">
        <v>383</v>
      </c>
      <c r="D130" s="44" t="s">
        <v>112</v>
      </c>
      <c r="E130" s="51" t="s">
        <v>961</v>
      </c>
      <c r="F130" s="46"/>
      <c r="G130" s="125" t="s">
        <v>966</v>
      </c>
      <c r="H130" s="173"/>
    </row>
    <row r="131" spans="2:9" x14ac:dyDescent="0.25">
      <c r="B131" s="133" t="s">
        <v>386</v>
      </c>
      <c r="C131" s="150" t="s">
        <v>383</v>
      </c>
      <c r="D131" s="44" t="s">
        <v>112</v>
      </c>
      <c r="E131" s="51" t="s">
        <v>55</v>
      </c>
      <c r="F131" s="46"/>
      <c r="G131" s="125" t="s">
        <v>967</v>
      </c>
      <c r="H131" s="253"/>
    </row>
    <row r="132" spans="2:9" x14ac:dyDescent="0.25">
      <c r="B132" s="133" t="s">
        <v>387</v>
      </c>
      <c r="C132" s="150" t="s">
        <v>383</v>
      </c>
      <c r="D132" s="44" t="s">
        <v>112</v>
      </c>
      <c r="E132" s="51" t="s">
        <v>962</v>
      </c>
      <c r="F132" s="46"/>
      <c r="G132" s="125" t="s">
        <v>114</v>
      </c>
      <c r="H132" s="253"/>
    </row>
    <row r="133" spans="2:9" ht="26.4" x14ac:dyDescent="0.25">
      <c r="B133" s="133" t="s">
        <v>388</v>
      </c>
      <c r="C133" s="150" t="s">
        <v>385</v>
      </c>
      <c r="D133" s="44" t="s">
        <v>112</v>
      </c>
      <c r="E133" s="51" t="s">
        <v>965</v>
      </c>
      <c r="F133" s="46"/>
      <c r="G133" s="125" t="s">
        <v>113</v>
      </c>
      <c r="H133" s="173"/>
    </row>
    <row r="134" spans="2:9" ht="27.75" customHeight="1" x14ac:dyDescent="0.25">
      <c r="B134" s="133" t="s">
        <v>390</v>
      </c>
      <c r="C134" s="150" t="s">
        <v>724</v>
      </c>
      <c r="D134" s="44" t="s">
        <v>112</v>
      </c>
      <c r="E134" s="276" t="s">
        <v>963</v>
      </c>
      <c r="F134" s="277"/>
      <c r="G134" s="125" t="s">
        <v>113</v>
      </c>
      <c r="H134" s="173"/>
    </row>
    <row r="135" spans="2:9" ht="26.4" x14ac:dyDescent="0.25">
      <c r="B135" s="133" t="s">
        <v>392</v>
      </c>
      <c r="C135" s="150" t="s">
        <v>389</v>
      </c>
      <c r="D135" s="44" t="s">
        <v>112</v>
      </c>
      <c r="E135" s="51" t="s">
        <v>575</v>
      </c>
      <c r="F135" s="46"/>
      <c r="G135" s="125" t="str">
        <f>IF($G$228="N/A","N/A","Yes")</f>
        <v>Yes</v>
      </c>
      <c r="H135" s="173"/>
    </row>
    <row r="136" spans="2:9" ht="26.4" x14ac:dyDescent="0.25">
      <c r="B136" s="133" t="s">
        <v>723</v>
      </c>
      <c r="C136" s="150" t="s">
        <v>391</v>
      </c>
      <c r="D136" s="44" t="s">
        <v>112</v>
      </c>
      <c r="E136" s="51" t="s">
        <v>576</v>
      </c>
      <c r="F136" s="46"/>
      <c r="G136" s="125" t="s">
        <v>113</v>
      </c>
      <c r="H136" s="173"/>
    </row>
    <row r="137" spans="2:9" ht="26.4" x14ac:dyDescent="0.25">
      <c r="B137" s="133" t="s">
        <v>969</v>
      </c>
      <c r="C137" s="150" t="s">
        <v>393</v>
      </c>
      <c r="D137" s="44" t="s">
        <v>112</v>
      </c>
      <c r="E137" s="51" t="s">
        <v>968</v>
      </c>
      <c r="F137" s="46"/>
      <c r="G137" s="125" t="s">
        <v>113</v>
      </c>
      <c r="H137" s="173"/>
    </row>
    <row r="138" spans="2:9" x14ac:dyDescent="0.25">
      <c r="B138" s="135"/>
      <c r="C138" s="152"/>
      <c r="D138" s="86"/>
      <c r="E138" s="79"/>
      <c r="F138" s="87"/>
      <c r="G138" s="73"/>
      <c r="H138" s="178"/>
    </row>
    <row r="139" spans="2:9" s="41" customFormat="1" ht="15.75" customHeight="1" x14ac:dyDescent="0.25">
      <c r="B139" s="132" t="s">
        <v>394</v>
      </c>
      <c r="C139" s="150" t="s">
        <v>395</v>
      </c>
      <c r="D139" s="273" t="s">
        <v>418</v>
      </c>
      <c r="E139" s="274"/>
      <c r="F139" s="275"/>
      <c r="G139" s="43"/>
      <c r="H139" s="177"/>
      <c r="I139" s="14"/>
    </row>
    <row r="140" spans="2:9" s="41" customFormat="1" ht="15.6" x14ac:dyDescent="0.25">
      <c r="B140" s="132"/>
      <c r="C140" s="150" t="s">
        <v>413</v>
      </c>
      <c r="D140" s="44" t="s">
        <v>112</v>
      </c>
      <c r="E140" s="124" t="s">
        <v>412</v>
      </c>
      <c r="F140" s="121"/>
      <c r="G140" s="43"/>
      <c r="H140" s="177"/>
      <c r="I140" s="14"/>
    </row>
    <row r="141" spans="2:9" x14ac:dyDescent="0.25">
      <c r="B141" s="133" t="s">
        <v>419</v>
      </c>
      <c r="C141" s="150"/>
      <c r="D141" s="44"/>
      <c r="E141" s="63" t="s">
        <v>970</v>
      </c>
      <c r="F141" s="46"/>
      <c r="G141" s="52" t="s">
        <v>113</v>
      </c>
      <c r="H141" s="173"/>
    </row>
    <row r="142" spans="2:9" ht="26.4" x14ac:dyDescent="0.25">
      <c r="B142" s="133" t="s">
        <v>420</v>
      </c>
      <c r="C142" s="150"/>
      <c r="D142" s="44"/>
      <c r="E142" s="63" t="s">
        <v>57</v>
      </c>
      <c r="F142" s="46"/>
      <c r="G142" s="125" t="str">
        <f>IF($G$63="N/A","N/A","Yes")</f>
        <v>Yes</v>
      </c>
      <c r="H142" s="173"/>
    </row>
    <row r="143" spans="2:9" ht="39.6" x14ac:dyDescent="0.25">
      <c r="B143" s="133" t="s">
        <v>421</v>
      </c>
      <c r="C143" s="150" t="s">
        <v>423</v>
      </c>
      <c r="D143" s="44" t="s">
        <v>112</v>
      </c>
      <c r="E143" s="51" t="s">
        <v>972</v>
      </c>
      <c r="F143" s="46"/>
      <c r="G143" s="192" t="s">
        <v>113</v>
      </c>
      <c r="H143" s="173"/>
    </row>
    <row r="144" spans="2:9" x14ac:dyDescent="0.25">
      <c r="B144" s="133" t="s">
        <v>422</v>
      </c>
      <c r="C144" s="150" t="s">
        <v>971</v>
      </c>
      <c r="D144" s="44" t="s">
        <v>112</v>
      </c>
      <c r="E144" s="51" t="s">
        <v>973</v>
      </c>
      <c r="F144" s="46" t="s">
        <v>120</v>
      </c>
      <c r="G144" s="52" t="s">
        <v>166</v>
      </c>
      <c r="H144" s="173"/>
    </row>
    <row r="145" spans="2:9" x14ac:dyDescent="0.25">
      <c r="B145" s="135"/>
      <c r="C145" s="152"/>
      <c r="D145" s="86"/>
      <c r="E145" s="79"/>
      <c r="F145" s="87"/>
      <c r="G145" s="73"/>
      <c r="H145" s="178"/>
    </row>
    <row r="146" spans="2:9" s="41" customFormat="1" ht="36.75" customHeight="1" x14ac:dyDescent="0.25">
      <c r="B146" s="132" t="s">
        <v>436</v>
      </c>
      <c r="C146" s="150" t="s">
        <v>437</v>
      </c>
      <c r="D146" s="273" t="s">
        <v>974</v>
      </c>
      <c r="E146" s="274"/>
      <c r="F146" s="275"/>
      <c r="G146" s="43"/>
      <c r="H146" s="177"/>
      <c r="I146" s="14"/>
    </row>
    <row r="147" spans="2:9" ht="26.4" x14ac:dyDescent="0.25">
      <c r="B147" s="133" t="s">
        <v>439</v>
      </c>
      <c r="C147" s="150" t="s">
        <v>438</v>
      </c>
      <c r="D147" s="44" t="s">
        <v>112</v>
      </c>
      <c r="E147" s="51" t="s">
        <v>444</v>
      </c>
      <c r="F147" s="46"/>
      <c r="G147" s="52" t="s">
        <v>113</v>
      </c>
      <c r="H147" s="173"/>
    </row>
    <row r="148" spans="2:9" x14ac:dyDescent="0.25">
      <c r="B148" s="133" t="s">
        <v>440</v>
      </c>
      <c r="C148" s="150" t="s">
        <v>451</v>
      </c>
      <c r="D148" s="44" t="s">
        <v>112</v>
      </c>
      <c r="E148" s="51" t="s">
        <v>441</v>
      </c>
      <c r="F148" s="46" t="s">
        <v>140</v>
      </c>
      <c r="G148" s="125">
        <v>20</v>
      </c>
      <c r="H148" s="173"/>
    </row>
    <row r="149" spans="2:9" ht="26.4" x14ac:dyDescent="0.25">
      <c r="B149" s="133" t="s">
        <v>448</v>
      </c>
      <c r="C149" s="150" t="s">
        <v>443</v>
      </c>
      <c r="D149" s="44" t="s">
        <v>112</v>
      </c>
      <c r="E149" s="51" t="s">
        <v>442</v>
      </c>
      <c r="F149" s="46"/>
      <c r="G149" s="125" t="s">
        <v>113</v>
      </c>
      <c r="H149" s="173"/>
    </row>
    <row r="150" spans="2:9" x14ac:dyDescent="0.25">
      <c r="B150" s="133" t="s">
        <v>449</v>
      </c>
      <c r="C150" s="150" t="s">
        <v>450</v>
      </c>
      <c r="D150" s="44" t="s">
        <v>112</v>
      </c>
      <c r="E150" s="51" t="s">
        <v>446</v>
      </c>
      <c r="F150" s="46" t="s">
        <v>447</v>
      </c>
      <c r="G150" s="125" t="s">
        <v>58</v>
      </c>
      <c r="H150" s="173"/>
    </row>
    <row r="151" spans="2:9" ht="39.6" x14ac:dyDescent="0.25">
      <c r="B151" s="133" t="s">
        <v>454</v>
      </c>
      <c r="C151" s="150" t="s">
        <v>452</v>
      </c>
      <c r="D151" s="44" t="s">
        <v>112</v>
      </c>
      <c r="E151" s="51" t="s">
        <v>445</v>
      </c>
      <c r="F151" s="46"/>
      <c r="G151" s="125" t="s">
        <v>1122</v>
      </c>
      <c r="H151" s="212"/>
    </row>
    <row r="152" spans="2:9" ht="27.75" customHeight="1" x14ac:dyDescent="0.25">
      <c r="B152" s="133" t="s">
        <v>455</v>
      </c>
      <c r="C152" s="150" t="s">
        <v>453</v>
      </c>
      <c r="D152" s="44" t="s">
        <v>112</v>
      </c>
      <c r="E152" s="51" t="s">
        <v>460</v>
      </c>
      <c r="F152" s="46"/>
      <c r="G152" s="125" t="s">
        <v>1123</v>
      </c>
      <c r="H152" s="173"/>
    </row>
    <row r="153" spans="2:9" x14ac:dyDescent="0.25">
      <c r="B153" s="133" t="s">
        <v>456</v>
      </c>
      <c r="C153" s="150" t="s">
        <v>459</v>
      </c>
      <c r="D153" s="44" t="s">
        <v>112</v>
      </c>
      <c r="E153" s="51" t="s">
        <v>469</v>
      </c>
      <c r="F153" s="46" t="s">
        <v>462</v>
      </c>
      <c r="G153" s="125" t="s">
        <v>1124</v>
      </c>
      <c r="H153" s="173"/>
    </row>
    <row r="154" spans="2:9" x14ac:dyDescent="0.25">
      <c r="B154" s="133" t="s">
        <v>457</v>
      </c>
      <c r="C154" s="150" t="s">
        <v>459</v>
      </c>
      <c r="D154" s="44" t="s">
        <v>112</v>
      </c>
      <c r="E154" s="51" t="s">
        <v>470</v>
      </c>
      <c r="F154" s="46" t="s">
        <v>462</v>
      </c>
      <c r="G154" s="125" t="s">
        <v>1125</v>
      </c>
      <c r="H154" s="173"/>
    </row>
    <row r="155" spans="2:9" ht="26.4" x14ac:dyDescent="0.25">
      <c r="B155" s="133" t="s">
        <v>458</v>
      </c>
      <c r="C155" s="150" t="s">
        <v>461</v>
      </c>
      <c r="D155" s="44" t="s">
        <v>112</v>
      </c>
      <c r="E155" s="51" t="s">
        <v>975</v>
      </c>
      <c r="F155" s="46"/>
      <c r="G155" s="125" t="s">
        <v>113</v>
      </c>
      <c r="H155" s="173"/>
    </row>
    <row r="156" spans="2:9" x14ac:dyDescent="0.25">
      <c r="B156" s="135"/>
      <c r="C156" s="152"/>
      <c r="D156" s="86"/>
      <c r="E156" s="79"/>
      <c r="F156" s="87"/>
      <c r="G156" s="73"/>
      <c r="H156" s="178"/>
    </row>
    <row r="157" spans="2:9" s="41" customFormat="1" ht="15.75" customHeight="1" x14ac:dyDescent="0.25">
      <c r="B157" s="132" t="s">
        <v>471</v>
      </c>
      <c r="C157" s="150" t="s">
        <v>472</v>
      </c>
      <c r="D157" s="273" t="s">
        <v>976</v>
      </c>
      <c r="E157" s="274"/>
      <c r="F157" s="275"/>
      <c r="G157" s="43"/>
      <c r="H157" s="177"/>
      <c r="I157" s="14"/>
    </row>
    <row r="158" spans="2:9" x14ac:dyDescent="0.25">
      <c r="B158" s="133" t="s">
        <v>473</v>
      </c>
      <c r="C158" s="150" t="s">
        <v>475</v>
      </c>
      <c r="D158" s="44" t="s">
        <v>112</v>
      </c>
      <c r="E158" s="51" t="s">
        <v>977</v>
      </c>
      <c r="F158" s="46"/>
      <c r="G158" s="52" t="s">
        <v>113</v>
      </c>
      <c r="H158" s="173"/>
    </row>
    <row r="159" spans="2:9" x14ac:dyDescent="0.25">
      <c r="B159" s="133" t="s">
        <v>474</v>
      </c>
      <c r="C159" s="150" t="s">
        <v>476</v>
      </c>
      <c r="D159" s="44" t="s">
        <v>112</v>
      </c>
      <c r="E159" s="51" t="s">
        <v>978</v>
      </c>
      <c r="F159" s="46" t="s">
        <v>179</v>
      </c>
      <c r="G159" s="189" t="s">
        <v>465</v>
      </c>
      <c r="H159" s="173"/>
    </row>
    <row r="160" spans="2:9" x14ac:dyDescent="0.25">
      <c r="B160" s="133" t="s">
        <v>477</v>
      </c>
      <c r="C160" s="150" t="s">
        <v>476</v>
      </c>
      <c r="D160" s="44" t="s">
        <v>112</v>
      </c>
      <c r="E160" s="51" t="s">
        <v>979</v>
      </c>
      <c r="F160" s="46" t="s">
        <v>203</v>
      </c>
      <c r="G160" s="189" t="s">
        <v>114</v>
      </c>
      <c r="H160" s="173"/>
    </row>
    <row r="161" spans="2:9" ht="26.4" x14ac:dyDescent="0.25">
      <c r="B161" s="133" t="s">
        <v>478</v>
      </c>
      <c r="C161" s="150" t="s">
        <v>479</v>
      </c>
      <c r="D161" s="44" t="s">
        <v>112</v>
      </c>
      <c r="E161" s="51" t="s">
        <v>980</v>
      </c>
      <c r="F161" s="46"/>
      <c r="G161" s="125" t="s">
        <v>1149</v>
      </c>
      <c r="H161" s="173"/>
    </row>
    <row r="162" spans="2:9" ht="26.4" x14ac:dyDescent="0.25">
      <c r="B162" s="133" t="s">
        <v>480</v>
      </c>
      <c r="C162" s="150" t="s">
        <v>464</v>
      </c>
      <c r="D162" s="44" t="s">
        <v>112</v>
      </c>
      <c r="E162" s="51" t="s">
        <v>981</v>
      </c>
      <c r="F162" s="46"/>
      <c r="G162" s="125" t="s">
        <v>113</v>
      </c>
      <c r="H162" s="173"/>
    </row>
    <row r="163" spans="2:9" ht="26.4" x14ac:dyDescent="0.25">
      <c r="B163" s="133" t="s">
        <v>1151</v>
      </c>
      <c r="C163" s="150" t="s">
        <v>1150</v>
      </c>
      <c r="D163" s="44" t="s">
        <v>112</v>
      </c>
      <c r="E163" s="51" t="s">
        <v>1152</v>
      </c>
      <c r="F163" s="46"/>
      <c r="G163" s="125" t="s">
        <v>113</v>
      </c>
      <c r="H163" s="177"/>
    </row>
    <row r="164" spans="2:9" x14ac:dyDescent="0.25">
      <c r="B164" s="135"/>
      <c r="C164" s="152"/>
      <c r="D164" s="86"/>
      <c r="E164" s="79"/>
      <c r="F164" s="87"/>
      <c r="G164" s="73"/>
      <c r="H164" s="178"/>
    </row>
    <row r="165" spans="2:9" s="41" customFormat="1" ht="15.75" customHeight="1" x14ac:dyDescent="0.25">
      <c r="B165" s="132" t="s">
        <v>481</v>
      </c>
      <c r="C165" s="150" t="s">
        <v>482</v>
      </c>
      <c r="D165" s="273" t="s">
        <v>483</v>
      </c>
      <c r="E165" s="274"/>
      <c r="F165" s="275"/>
      <c r="G165" s="43"/>
      <c r="H165" s="177"/>
      <c r="I165" s="14"/>
    </row>
    <row r="166" spans="2:9" x14ac:dyDescent="0.25">
      <c r="B166" s="133" t="s">
        <v>484</v>
      </c>
      <c r="C166" s="150" t="s">
        <v>485</v>
      </c>
      <c r="D166" s="44" t="s">
        <v>112</v>
      </c>
      <c r="E166" s="51" t="s">
        <v>486</v>
      </c>
      <c r="F166" s="46"/>
      <c r="G166" s="52" t="s">
        <v>487</v>
      </c>
      <c r="H166" s="173"/>
    </row>
    <row r="167" spans="2:9" x14ac:dyDescent="0.25">
      <c r="B167" s="133" t="s">
        <v>488</v>
      </c>
      <c r="C167" s="150" t="s">
        <v>491</v>
      </c>
      <c r="D167" s="44" t="s">
        <v>112</v>
      </c>
      <c r="E167" s="51" t="s">
        <v>489</v>
      </c>
      <c r="F167" s="46"/>
      <c r="G167" s="125" t="s">
        <v>490</v>
      </c>
      <c r="H167" s="173"/>
    </row>
    <row r="168" spans="2:9" x14ac:dyDescent="0.25">
      <c r="B168" s="133" t="s">
        <v>496</v>
      </c>
      <c r="C168" s="150" t="s">
        <v>493</v>
      </c>
      <c r="D168" s="44" t="s">
        <v>112</v>
      </c>
      <c r="E168" s="51" t="s">
        <v>492</v>
      </c>
      <c r="F168" s="46"/>
      <c r="G168" s="125" t="s">
        <v>113</v>
      </c>
      <c r="H168" s="173"/>
    </row>
    <row r="169" spans="2:9" ht="26.4" x14ac:dyDescent="0.25">
      <c r="B169" s="133" t="s">
        <v>495</v>
      </c>
      <c r="C169" s="150" t="s">
        <v>494</v>
      </c>
      <c r="D169" s="44" t="s">
        <v>112</v>
      </c>
      <c r="E169" s="51" t="s">
        <v>982</v>
      </c>
      <c r="F169" s="46"/>
      <c r="G169" s="125" t="s">
        <v>113</v>
      </c>
      <c r="H169" s="173"/>
    </row>
    <row r="170" spans="2:9" x14ac:dyDescent="0.25">
      <c r="B170" s="133" t="s">
        <v>497</v>
      </c>
      <c r="C170" s="150" t="s">
        <v>499</v>
      </c>
      <c r="D170" s="44" t="s">
        <v>112</v>
      </c>
      <c r="E170" s="51" t="s">
        <v>983</v>
      </c>
      <c r="F170" s="46"/>
      <c r="G170" s="125" t="s">
        <v>114</v>
      </c>
      <c r="H170" s="173"/>
    </row>
    <row r="171" spans="2:9" ht="26.4" x14ac:dyDescent="0.25">
      <c r="B171" s="133" t="s">
        <v>501</v>
      </c>
      <c r="C171" s="150" t="s">
        <v>985</v>
      </c>
      <c r="D171" s="44" t="s">
        <v>112</v>
      </c>
      <c r="E171" s="51" t="s">
        <v>984</v>
      </c>
      <c r="F171" s="46"/>
      <c r="G171" s="125" t="s">
        <v>113</v>
      </c>
      <c r="H171" s="173"/>
    </row>
    <row r="172" spans="2:9" ht="26.4" x14ac:dyDescent="0.25">
      <c r="B172" s="133" t="s">
        <v>503</v>
      </c>
      <c r="C172" s="150" t="s">
        <v>500</v>
      </c>
      <c r="D172" s="44" t="s">
        <v>112</v>
      </c>
      <c r="E172" s="51" t="s">
        <v>986</v>
      </c>
      <c r="F172" s="46"/>
      <c r="G172" s="125" t="s">
        <v>113</v>
      </c>
      <c r="H172" s="173"/>
    </row>
    <row r="173" spans="2:9" ht="27.75" customHeight="1" x14ac:dyDescent="0.25">
      <c r="B173" s="133" t="s">
        <v>504</v>
      </c>
      <c r="C173" s="150" t="s">
        <v>502</v>
      </c>
      <c r="D173" s="44" t="s">
        <v>112</v>
      </c>
      <c r="E173" s="51" t="s">
        <v>498</v>
      </c>
      <c r="F173" s="46"/>
      <c r="G173" s="125" t="s">
        <v>113</v>
      </c>
      <c r="H173" s="173"/>
    </row>
    <row r="174" spans="2:9" x14ac:dyDescent="0.25">
      <c r="B174" s="133"/>
      <c r="C174" s="150"/>
      <c r="D174" s="44" t="s">
        <v>112</v>
      </c>
      <c r="E174" s="64" t="s">
        <v>512</v>
      </c>
      <c r="F174" s="65"/>
      <c r="G174" s="66"/>
      <c r="H174" s="179"/>
    </row>
    <row r="175" spans="2:9" x14ac:dyDescent="0.25">
      <c r="B175" s="133" t="s">
        <v>505</v>
      </c>
      <c r="C175" s="150" t="s">
        <v>908</v>
      </c>
      <c r="D175" s="44"/>
      <c r="E175" s="63" t="s">
        <v>513</v>
      </c>
      <c r="F175" s="46" t="s">
        <v>120</v>
      </c>
      <c r="G175" s="52" t="s">
        <v>114</v>
      </c>
      <c r="H175" s="173"/>
    </row>
    <row r="176" spans="2:9" x14ac:dyDescent="0.25">
      <c r="B176" s="133" t="s">
        <v>506</v>
      </c>
      <c r="C176" s="150" t="s">
        <v>908</v>
      </c>
      <c r="D176" s="44"/>
      <c r="E176" s="63" t="s">
        <v>514</v>
      </c>
      <c r="F176" s="46" t="s">
        <v>120</v>
      </c>
      <c r="G176" s="52" t="s">
        <v>114</v>
      </c>
      <c r="H176" s="173"/>
    </row>
    <row r="177" spans="2:8" x14ac:dyDescent="0.25">
      <c r="B177" s="133" t="s">
        <v>507</v>
      </c>
      <c r="C177" s="150" t="s">
        <v>908</v>
      </c>
      <c r="D177" s="44"/>
      <c r="E177" s="63" t="s">
        <v>515</v>
      </c>
      <c r="F177" s="46" t="s">
        <v>120</v>
      </c>
      <c r="G177" s="52" t="s">
        <v>114</v>
      </c>
      <c r="H177" s="173"/>
    </row>
    <row r="178" spans="2:8" ht="12.75" customHeight="1" x14ac:dyDescent="0.25">
      <c r="B178" s="133" t="s">
        <v>508</v>
      </c>
      <c r="C178" s="150" t="s">
        <v>908</v>
      </c>
      <c r="D178" s="44"/>
      <c r="E178" s="51" t="s">
        <v>519</v>
      </c>
      <c r="F178" s="46" t="s">
        <v>120</v>
      </c>
      <c r="G178" s="52" t="s">
        <v>114</v>
      </c>
      <c r="H178" s="173"/>
    </row>
    <row r="179" spans="2:8" ht="28.8" x14ac:dyDescent="0.25">
      <c r="B179" s="133" t="s">
        <v>509</v>
      </c>
      <c r="C179" s="150" t="s">
        <v>908</v>
      </c>
      <c r="D179" s="44" t="s">
        <v>112</v>
      </c>
      <c r="E179" s="63" t="s">
        <v>990</v>
      </c>
      <c r="F179" s="46" t="s">
        <v>120</v>
      </c>
      <c r="G179" s="52" t="s">
        <v>114</v>
      </c>
      <c r="H179" s="173"/>
    </row>
    <row r="180" spans="2:8" ht="25.5" customHeight="1" x14ac:dyDescent="0.25">
      <c r="B180" s="133" t="s">
        <v>510</v>
      </c>
      <c r="C180" s="150" t="s">
        <v>908</v>
      </c>
      <c r="D180" s="44" t="s">
        <v>112</v>
      </c>
      <c r="E180" s="63" t="s">
        <v>520</v>
      </c>
      <c r="F180" s="46" t="s">
        <v>120</v>
      </c>
      <c r="G180" s="52" t="s">
        <v>114</v>
      </c>
      <c r="H180" s="173"/>
    </row>
    <row r="181" spans="2:8" ht="25.5" customHeight="1" x14ac:dyDescent="0.25">
      <c r="B181" s="133" t="s">
        <v>511</v>
      </c>
      <c r="C181" s="150" t="s">
        <v>908</v>
      </c>
      <c r="D181" s="44" t="s">
        <v>112</v>
      </c>
      <c r="E181" s="63" t="s">
        <v>521</v>
      </c>
      <c r="F181" s="46" t="s">
        <v>120</v>
      </c>
      <c r="G181" s="52" t="s">
        <v>114</v>
      </c>
      <c r="H181" s="173"/>
    </row>
    <row r="182" spans="2:8" ht="25.5" customHeight="1" x14ac:dyDescent="0.25">
      <c r="B182" s="133" t="s">
        <v>516</v>
      </c>
      <c r="C182" s="150" t="s">
        <v>908</v>
      </c>
      <c r="D182" s="44" t="s">
        <v>112</v>
      </c>
      <c r="E182" s="63" t="s">
        <v>522</v>
      </c>
      <c r="F182" s="46" t="s">
        <v>120</v>
      </c>
      <c r="G182" s="52" t="s">
        <v>114</v>
      </c>
      <c r="H182" s="173"/>
    </row>
    <row r="183" spans="2:8" x14ac:dyDescent="0.25">
      <c r="B183" s="133" t="s">
        <v>517</v>
      </c>
      <c r="C183" s="150" t="s">
        <v>987</v>
      </c>
      <c r="D183" s="44" t="s">
        <v>112</v>
      </c>
      <c r="E183" s="51" t="s">
        <v>1153</v>
      </c>
      <c r="F183" s="46"/>
      <c r="G183" s="125" t="s">
        <v>113</v>
      </c>
      <c r="H183" s="173"/>
    </row>
    <row r="184" spans="2:8" x14ac:dyDescent="0.25">
      <c r="B184" s="133" t="s">
        <v>518</v>
      </c>
      <c r="C184" s="150" t="s">
        <v>988</v>
      </c>
      <c r="D184" s="44" t="s">
        <v>112</v>
      </c>
      <c r="E184" s="51" t="s">
        <v>989</v>
      </c>
      <c r="F184" s="46"/>
      <c r="G184" s="125" t="s">
        <v>113</v>
      </c>
      <c r="H184" s="173"/>
    </row>
    <row r="185" spans="2:8" x14ac:dyDescent="0.25">
      <c r="B185" s="133"/>
      <c r="C185" s="150" t="s">
        <v>530</v>
      </c>
      <c r="D185" s="44" t="s">
        <v>112</v>
      </c>
      <c r="E185" s="64" t="s">
        <v>526</v>
      </c>
      <c r="F185" s="65"/>
      <c r="G185" s="66"/>
      <c r="H185" s="177"/>
    </row>
    <row r="186" spans="2:8" x14ac:dyDescent="0.25">
      <c r="B186" s="133" t="s">
        <v>523</v>
      </c>
      <c r="C186" s="150" t="s">
        <v>529</v>
      </c>
      <c r="D186" s="44"/>
      <c r="E186" s="51" t="s">
        <v>527</v>
      </c>
      <c r="F186" s="46"/>
      <c r="G186" s="52" t="s">
        <v>490</v>
      </c>
      <c r="H186" s="212"/>
    </row>
    <row r="187" spans="2:8" ht="26.4" x14ac:dyDescent="0.25">
      <c r="B187" s="133" t="s">
        <v>524</v>
      </c>
      <c r="C187" s="150" t="s">
        <v>534</v>
      </c>
      <c r="D187" s="44"/>
      <c r="E187" s="51" t="s">
        <v>912</v>
      </c>
      <c r="F187" s="46"/>
      <c r="G187" s="125" t="s">
        <v>113</v>
      </c>
      <c r="H187" s="173"/>
    </row>
    <row r="188" spans="2:8" x14ac:dyDescent="0.25">
      <c r="B188" s="133" t="s">
        <v>525</v>
      </c>
      <c r="C188" s="150" t="s">
        <v>991</v>
      </c>
      <c r="D188" s="44"/>
      <c r="E188" s="51" t="s">
        <v>992</v>
      </c>
      <c r="F188" s="46"/>
      <c r="G188" s="47" t="s">
        <v>113</v>
      </c>
      <c r="H188" s="173"/>
    </row>
    <row r="189" spans="2:8" ht="40.5" customHeight="1" x14ac:dyDescent="0.25">
      <c r="B189" s="133" t="s">
        <v>528</v>
      </c>
      <c r="C189" s="150" t="s">
        <v>535</v>
      </c>
      <c r="D189" s="44"/>
      <c r="E189" s="51" t="s">
        <v>1306</v>
      </c>
      <c r="F189" s="46"/>
      <c r="G189" s="205" t="str">
        <f>VLOOKUP($E$11,$M$505:$AP$508,30,FALSE)</f>
        <v>Universal</v>
      </c>
      <c r="H189" s="173"/>
    </row>
    <row r="190" spans="2:8" x14ac:dyDescent="0.25">
      <c r="B190" s="133"/>
      <c r="C190" s="150" t="s">
        <v>537</v>
      </c>
      <c r="D190" s="44" t="s">
        <v>112</v>
      </c>
      <c r="E190" s="64" t="s">
        <v>536</v>
      </c>
      <c r="F190" s="65"/>
      <c r="G190" s="66"/>
      <c r="H190" s="177"/>
    </row>
    <row r="191" spans="2:8" x14ac:dyDescent="0.25">
      <c r="B191" s="133" t="s">
        <v>532</v>
      </c>
      <c r="C191" s="150"/>
      <c r="D191" s="44"/>
      <c r="E191" s="63" t="s">
        <v>540</v>
      </c>
      <c r="F191" s="46" t="s">
        <v>447</v>
      </c>
      <c r="G191" s="52" t="s">
        <v>539</v>
      </c>
      <c r="H191" s="173"/>
    </row>
    <row r="192" spans="2:8" x14ac:dyDescent="0.25">
      <c r="B192" s="133" t="s">
        <v>533</v>
      </c>
      <c r="C192" s="150"/>
      <c r="D192" s="44"/>
      <c r="E192" s="63" t="s">
        <v>541</v>
      </c>
      <c r="F192" s="46" t="s">
        <v>447</v>
      </c>
      <c r="G192" s="52" t="s">
        <v>178</v>
      </c>
      <c r="H192" s="173"/>
    </row>
    <row r="193" spans="2:9" x14ac:dyDescent="0.25">
      <c r="B193" s="133" t="s">
        <v>538</v>
      </c>
      <c r="C193" s="150"/>
      <c r="D193" s="44"/>
      <c r="E193" s="63" t="s">
        <v>542</v>
      </c>
      <c r="F193" s="46" t="s">
        <v>447</v>
      </c>
      <c r="G193" s="52" t="s">
        <v>178</v>
      </c>
      <c r="H193" s="173"/>
    </row>
    <row r="194" spans="2:9" x14ac:dyDescent="0.25">
      <c r="B194" s="133" t="s">
        <v>552</v>
      </c>
      <c r="C194" s="150"/>
      <c r="D194" s="44"/>
      <c r="E194" s="63" t="s">
        <v>993</v>
      </c>
      <c r="F194" s="46" t="s">
        <v>447</v>
      </c>
      <c r="G194" s="47" t="s">
        <v>994</v>
      </c>
      <c r="H194" s="173"/>
    </row>
    <row r="195" spans="2:9" x14ac:dyDescent="0.25">
      <c r="B195" s="133"/>
      <c r="C195" s="150" t="s">
        <v>543</v>
      </c>
      <c r="D195" s="44" t="s">
        <v>112</v>
      </c>
      <c r="E195" s="64" t="s">
        <v>995</v>
      </c>
      <c r="F195" s="65"/>
      <c r="G195" s="66"/>
      <c r="H195" s="177"/>
    </row>
    <row r="196" spans="2:9" ht="39.6" x14ac:dyDescent="0.25">
      <c r="B196" s="133" t="s">
        <v>553</v>
      </c>
      <c r="C196" s="150" t="s">
        <v>547</v>
      </c>
      <c r="D196" s="44"/>
      <c r="E196" s="63" t="s">
        <v>997</v>
      </c>
      <c r="F196" s="46"/>
      <c r="G196" s="47" t="s">
        <v>113</v>
      </c>
      <c r="H196" s="173"/>
    </row>
    <row r="197" spans="2:9" ht="26.4" x14ac:dyDescent="0.25">
      <c r="B197" s="133" t="s">
        <v>554</v>
      </c>
      <c r="C197" s="150" t="s">
        <v>548</v>
      </c>
      <c r="D197" s="44"/>
      <c r="E197" s="63" t="s">
        <v>996</v>
      </c>
      <c r="F197" s="46"/>
      <c r="G197" s="47" t="s">
        <v>113</v>
      </c>
      <c r="H197" s="173"/>
    </row>
    <row r="198" spans="2:9" x14ac:dyDescent="0.25">
      <c r="B198" s="133" t="s">
        <v>555</v>
      </c>
      <c r="C198" s="150" t="s">
        <v>551</v>
      </c>
      <c r="D198" s="44"/>
      <c r="E198" s="63" t="s">
        <v>1155</v>
      </c>
      <c r="F198" s="54"/>
      <c r="G198" s="43" t="s">
        <v>113</v>
      </c>
      <c r="H198" s="173"/>
    </row>
    <row r="199" spans="2:9" x14ac:dyDescent="0.25">
      <c r="B199" s="133"/>
      <c r="C199" s="150" t="s">
        <v>558</v>
      </c>
      <c r="D199" s="44" t="s">
        <v>112</v>
      </c>
      <c r="E199" s="64" t="s">
        <v>1000</v>
      </c>
      <c r="F199" s="65"/>
      <c r="G199" s="66"/>
      <c r="H199" s="177"/>
    </row>
    <row r="200" spans="2:9" ht="26.4" x14ac:dyDescent="0.25">
      <c r="B200" s="133" t="s">
        <v>556</v>
      </c>
      <c r="C200" s="150" t="s">
        <v>1156</v>
      </c>
      <c r="D200" s="44"/>
      <c r="E200" s="63" t="s">
        <v>1001</v>
      </c>
      <c r="F200" s="46" t="s">
        <v>544</v>
      </c>
      <c r="G200" s="52" t="s">
        <v>114</v>
      </c>
      <c r="H200" s="173"/>
    </row>
    <row r="201" spans="2:9" ht="39.6" x14ac:dyDescent="0.25">
      <c r="B201" s="133" t="s">
        <v>557</v>
      </c>
      <c r="C201" s="150" t="s">
        <v>1157</v>
      </c>
      <c r="D201" s="44"/>
      <c r="E201" s="63" t="s">
        <v>999</v>
      </c>
      <c r="F201" s="46"/>
      <c r="G201" s="52" t="s">
        <v>114</v>
      </c>
      <c r="H201" s="253"/>
    </row>
    <row r="202" spans="2:9" ht="26.4" x14ac:dyDescent="0.25">
      <c r="B202" s="133" t="s">
        <v>559</v>
      </c>
      <c r="C202" s="150" t="s">
        <v>1158</v>
      </c>
      <c r="D202" s="44"/>
      <c r="E202" s="63" t="s">
        <v>998</v>
      </c>
      <c r="F202" s="46"/>
      <c r="G202" s="52" t="s">
        <v>114</v>
      </c>
      <c r="H202" s="173"/>
    </row>
    <row r="203" spans="2:9" ht="12.75" customHeight="1" x14ac:dyDescent="0.25">
      <c r="B203" s="133" t="s">
        <v>559</v>
      </c>
      <c r="C203" s="150" t="s">
        <v>1159</v>
      </c>
      <c r="D203" s="44"/>
      <c r="E203" s="63" t="s">
        <v>545</v>
      </c>
      <c r="F203" s="46"/>
      <c r="G203" s="52" t="s">
        <v>546</v>
      </c>
      <c r="H203" s="253"/>
    </row>
    <row r="204" spans="2:9" x14ac:dyDescent="0.25">
      <c r="B204" s="135"/>
      <c r="C204" s="152"/>
      <c r="D204" s="86"/>
      <c r="E204" s="79"/>
      <c r="F204" s="87"/>
      <c r="G204" s="73"/>
      <c r="H204" s="178"/>
    </row>
    <row r="205" spans="2:9" s="41" customFormat="1" ht="15.75" customHeight="1" x14ac:dyDescent="0.25">
      <c r="B205" s="132" t="s">
        <v>561</v>
      </c>
      <c r="C205" s="150" t="s">
        <v>562</v>
      </c>
      <c r="D205" s="273" t="s">
        <v>1002</v>
      </c>
      <c r="E205" s="274"/>
      <c r="F205" s="275"/>
      <c r="G205" s="66"/>
      <c r="H205" s="177"/>
      <c r="I205" s="14"/>
    </row>
    <row r="206" spans="2:9" x14ac:dyDescent="0.25">
      <c r="B206" s="133"/>
      <c r="C206" s="150" t="s">
        <v>563</v>
      </c>
      <c r="D206" s="44" t="s">
        <v>112</v>
      </c>
      <c r="E206" s="64" t="s">
        <v>78</v>
      </c>
      <c r="F206" s="65"/>
      <c r="G206" s="66"/>
      <c r="H206" s="177"/>
    </row>
    <row r="207" spans="2:9" ht="26.4" x14ac:dyDescent="0.25">
      <c r="B207" s="133" t="s">
        <v>564</v>
      </c>
      <c r="C207" s="150" t="s">
        <v>1003</v>
      </c>
      <c r="D207" s="44"/>
      <c r="E207" s="63" t="s">
        <v>1004</v>
      </c>
      <c r="F207" s="46"/>
      <c r="G207" s="52" t="s">
        <v>113</v>
      </c>
      <c r="H207" s="173"/>
    </row>
    <row r="208" spans="2:9" ht="26.4" x14ac:dyDescent="0.25">
      <c r="B208" s="133" t="s">
        <v>565</v>
      </c>
      <c r="C208" s="150" t="s">
        <v>1005</v>
      </c>
      <c r="D208" s="44"/>
      <c r="E208" s="63" t="s">
        <v>213</v>
      </c>
      <c r="F208" s="46"/>
      <c r="G208" s="52" t="s">
        <v>113</v>
      </c>
      <c r="H208" s="173"/>
    </row>
    <row r="209" spans="2:8" s="21" customFormat="1" ht="26.4" x14ac:dyDescent="0.25">
      <c r="B209" s="133"/>
      <c r="C209" s="150" t="s">
        <v>76</v>
      </c>
      <c r="D209" s="44" t="s">
        <v>112</v>
      </c>
      <c r="E209" s="64" t="s">
        <v>1006</v>
      </c>
      <c r="F209" s="65"/>
      <c r="G209" s="66"/>
      <c r="H209" s="177"/>
    </row>
    <row r="210" spans="2:8" s="21" customFormat="1" ht="26.4" x14ac:dyDescent="0.25">
      <c r="B210" s="133" t="s">
        <v>566</v>
      </c>
      <c r="C210" s="150" t="s">
        <v>1007</v>
      </c>
      <c r="D210" s="44"/>
      <c r="E210" s="63" t="s">
        <v>1008</v>
      </c>
      <c r="F210" s="46"/>
      <c r="G210" s="52" t="s">
        <v>113</v>
      </c>
      <c r="H210" s="173"/>
    </row>
    <row r="211" spans="2:8" s="21" customFormat="1" x14ac:dyDescent="0.25">
      <c r="B211" s="133" t="s">
        <v>567</v>
      </c>
      <c r="C211" s="150" t="s">
        <v>1009</v>
      </c>
      <c r="D211" s="44"/>
      <c r="E211" s="63" t="s">
        <v>1010</v>
      </c>
      <c r="F211" s="46" t="s">
        <v>936</v>
      </c>
      <c r="G211" s="47" t="s">
        <v>1011</v>
      </c>
      <c r="H211" s="173"/>
    </row>
    <row r="212" spans="2:8" s="21" customFormat="1" x14ac:dyDescent="0.25">
      <c r="B212" s="133" t="s">
        <v>77</v>
      </c>
      <c r="C212" s="150" t="s">
        <v>1009</v>
      </c>
      <c r="D212" s="44"/>
      <c r="E212" s="63" t="s">
        <v>1012</v>
      </c>
      <c r="F212" s="46" t="s">
        <v>116</v>
      </c>
      <c r="G212" s="47" t="s">
        <v>114</v>
      </c>
      <c r="H212" s="173"/>
    </row>
    <row r="213" spans="2:8" s="21" customFormat="1" x14ac:dyDescent="0.25">
      <c r="B213" s="133" t="s">
        <v>79</v>
      </c>
      <c r="C213" s="150" t="s">
        <v>1009</v>
      </c>
      <c r="D213" s="44"/>
      <c r="E213" s="63" t="s">
        <v>1013</v>
      </c>
      <c r="F213" s="46" t="s">
        <v>121</v>
      </c>
      <c r="G213" s="47" t="s">
        <v>114</v>
      </c>
      <c r="H213" s="173"/>
    </row>
    <row r="214" spans="2:8" s="21" customFormat="1" ht="26.4" x14ac:dyDescent="0.25">
      <c r="B214" s="133" t="s">
        <v>80</v>
      </c>
      <c r="C214" s="150" t="s">
        <v>1009</v>
      </c>
      <c r="D214" s="44"/>
      <c r="E214" s="63" t="s">
        <v>1160</v>
      </c>
      <c r="F214" s="46" t="s">
        <v>121</v>
      </c>
      <c r="G214" s="47" t="s">
        <v>114</v>
      </c>
      <c r="H214" s="209"/>
    </row>
    <row r="215" spans="2:8" s="21" customFormat="1" ht="26.4" x14ac:dyDescent="0.25">
      <c r="B215" s="133" t="s">
        <v>81</v>
      </c>
      <c r="C215" s="150" t="s">
        <v>1015</v>
      </c>
      <c r="D215" s="44"/>
      <c r="E215" s="63" t="s">
        <v>1014</v>
      </c>
      <c r="F215" s="46"/>
      <c r="G215" s="52" t="s">
        <v>113</v>
      </c>
      <c r="H215" s="173"/>
    </row>
    <row r="216" spans="2:8" s="21" customFormat="1" ht="26.4" x14ac:dyDescent="0.25">
      <c r="B216" s="133" t="s">
        <v>82</v>
      </c>
      <c r="C216" s="150" t="s">
        <v>1018</v>
      </c>
      <c r="D216" s="44"/>
      <c r="E216" s="63" t="s">
        <v>1017</v>
      </c>
      <c r="F216" s="46"/>
      <c r="G216" s="47" t="s">
        <v>1016</v>
      </c>
      <c r="H216" s="173"/>
    </row>
    <row r="217" spans="2:8" s="21" customFormat="1" ht="26.4" x14ac:dyDescent="0.25">
      <c r="B217" s="133" t="s">
        <v>560</v>
      </c>
      <c r="C217" s="150" t="s">
        <v>1018</v>
      </c>
      <c r="D217" s="44"/>
      <c r="E217" s="63" t="s">
        <v>1019</v>
      </c>
      <c r="F217" s="46"/>
      <c r="G217" s="52" t="s">
        <v>113</v>
      </c>
      <c r="H217" s="173"/>
    </row>
    <row r="218" spans="2:8" s="21" customFormat="1" ht="39.6" x14ac:dyDescent="0.25">
      <c r="B218" s="133" t="s">
        <v>1024</v>
      </c>
      <c r="C218" s="150" t="s">
        <v>1018</v>
      </c>
      <c r="D218" s="44"/>
      <c r="E218" s="63" t="s">
        <v>1020</v>
      </c>
      <c r="F218" s="46"/>
      <c r="G218" s="47" t="s">
        <v>113</v>
      </c>
      <c r="H218" s="173"/>
    </row>
    <row r="219" spans="2:8" s="21" customFormat="1" x14ac:dyDescent="0.25">
      <c r="B219" s="133" t="s">
        <v>1025</v>
      </c>
      <c r="C219" s="150" t="s">
        <v>1018</v>
      </c>
      <c r="D219" s="44"/>
      <c r="E219" s="63" t="s">
        <v>1021</v>
      </c>
      <c r="F219" s="46"/>
      <c r="G219" s="47" t="s">
        <v>114</v>
      </c>
      <c r="H219" s="253"/>
    </row>
    <row r="220" spans="2:8" s="21" customFormat="1" ht="39.6" x14ac:dyDescent="0.25">
      <c r="B220" s="133" t="s">
        <v>1026</v>
      </c>
      <c r="C220" s="150" t="s">
        <v>1018</v>
      </c>
      <c r="D220" s="44"/>
      <c r="E220" s="63" t="s">
        <v>1161</v>
      </c>
      <c r="F220" s="46"/>
      <c r="G220" s="52" t="s">
        <v>113</v>
      </c>
      <c r="H220" s="173"/>
    </row>
    <row r="221" spans="2:8" s="21" customFormat="1" ht="39.6" x14ac:dyDescent="0.25">
      <c r="B221" s="133" t="s">
        <v>1027</v>
      </c>
      <c r="C221" s="150" t="s">
        <v>1018</v>
      </c>
      <c r="D221" s="44"/>
      <c r="E221" s="63" t="s">
        <v>1162</v>
      </c>
      <c r="F221" s="46"/>
      <c r="G221" s="52" t="s">
        <v>113</v>
      </c>
      <c r="H221" s="173"/>
    </row>
    <row r="222" spans="2:8" s="21" customFormat="1" x14ac:dyDescent="0.25">
      <c r="B222" s="133" t="s">
        <v>1028</v>
      </c>
      <c r="C222" s="150" t="s">
        <v>1018</v>
      </c>
      <c r="D222" s="44"/>
      <c r="E222" s="63" t="s">
        <v>1022</v>
      </c>
      <c r="F222" s="46"/>
      <c r="G222" s="52" t="s">
        <v>113</v>
      </c>
      <c r="H222" s="173"/>
    </row>
    <row r="223" spans="2:8" s="21" customFormat="1" ht="26.4" x14ac:dyDescent="0.25">
      <c r="B223" s="133" t="s">
        <v>1029</v>
      </c>
      <c r="C223" s="150" t="s">
        <v>1030</v>
      </c>
      <c r="D223" s="44"/>
      <c r="E223" s="63" t="s">
        <v>1023</v>
      </c>
      <c r="F223" s="46"/>
      <c r="G223" s="52" t="s">
        <v>113</v>
      </c>
      <c r="H223" s="173"/>
    </row>
    <row r="224" spans="2:8" s="21" customFormat="1" x14ac:dyDescent="0.25">
      <c r="B224" s="135"/>
      <c r="C224" s="152"/>
      <c r="D224" s="86"/>
      <c r="E224" s="79"/>
      <c r="F224" s="87"/>
      <c r="G224" s="73"/>
      <c r="H224" s="178"/>
    </row>
    <row r="225" spans="2:9" s="41" customFormat="1" ht="33.75" customHeight="1" x14ac:dyDescent="0.25">
      <c r="B225" s="132" t="s">
        <v>83</v>
      </c>
      <c r="C225" s="150" t="s">
        <v>84</v>
      </c>
      <c r="D225" s="273" t="s">
        <v>25</v>
      </c>
      <c r="E225" s="274"/>
      <c r="F225" s="275"/>
      <c r="G225" s="66"/>
      <c r="H225" s="177"/>
      <c r="I225" s="14"/>
    </row>
    <row r="226" spans="2:9" ht="66" x14ac:dyDescent="0.25">
      <c r="B226" s="133" t="s">
        <v>85</v>
      </c>
      <c r="C226" s="150" t="s">
        <v>404</v>
      </c>
      <c r="D226" s="44" t="s">
        <v>112</v>
      </c>
      <c r="E226" s="51" t="s">
        <v>1308</v>
      </c>
      <c r="F226" s="46"/>
      <c r="G226" s="52" t="str">
        <f>IF($G$228="N/A","N/A","Type 4 / Type 5")</f>
        <v>Type 4 / Type 5</v>
      </c>
      <c r="H226" s="173"/>
    </row>
    <row r="227" spans="2:9" ht="12.75" customHeight="1" x14ac:dyDescent="0.25">
      <c r="B227" s="133" t="s">
        <v>86</v>
      </c>
      <c r="C227" s="150" t="s">
        <v>405</v>
      </c>
      <c r="D227" s="44" t="s">
        <v>112</v>
      </c>
      <c r="E227" s="51" t="s">
        <v>87</v>
      </c>
      <c r="F227" s="46"/>
      <c r="G227" s="52" t="str">
        <f>IF($G$228="N/A","N/A","Yes")</f>
        <v>Yes</v>
      </c>
      <c r="H227" s="173"/>
    </row>
    <row r="228" spans="2:9" ht="79.2" x14ac:dyDescent="0.25">
      <c r="B228" s="133" t="s">
        <v>88</v>
      </c>
      <c r="C228" s="150" t="s">
        <v>406</v>
      </c>
      <c r="D228" s="44" t="s">
        <v>112</v>
      </c>
      <c r="E228" s="51" t="s">
        <v>1310</v>
      </c>
      <c r="F228" s="46"/>
      <c r="G228" s="52">
        <f>VLOOKUP($E$11,$M$505:$BW$508,31,FALSE)</f>
        <v>1</v>
      </c>
      <c r="H228" s="173"/>
    </row>
    <row r="229" spans="2:9" x14ac:dyDescent="0.25">
      <c r="B229" s="133" t="s">
        <v>91</v>
      </c>
      <c r="C229" s="150" t="s">
        <v>407</v>
      </c>
      <c r="D229" s="44" t="s">
        <v>112</v>
      </c>
      <c r="E229" s="51" t="s">
        <v>90</v>
      </c>
      <c r="F229" s="46"/>
      <c r="G229" s="52" t="str">
        <f>VLOOKUP($E$11,$M$505:$BW$508,32,FALSE)</f>
        <v>2 x 1-core</v>
      </c>
      <c r="H229" s="173"/>
    </row>
    <row r="230" spans="2:9" ht="26.4" x14ac:dyDescent="0.25">
      <c r="B230" s="133" t="s">
        <v>95</v>
      </c>
      <c r="C230" s="150" t="s">
        <v>1039</v>
      </c>
      <c r="D230" s="44" t="s">
        <v>112</v>
      </c>
      <c r="E230" s="51" t="s">
        <v>1312</v>
      </c>
      <c r="F230" s="46"/>
      <c r="G230" s="52" t="str">
        <f>VLOOKUP($E$11,$M$505:$BW$508,32,FALSE)</f>
        <v>2 x 1-core</v>
      </c>
      <c r="H230" s="173"/>
    </row>
    <row r="231" spans="2:9" ht="26.4" x14ac:dyDescent="0.25">
      <c r="B231" s="133" t="s">
        <v>96</v>
      </c>
      <c r="C231" s="150" t="s">
        <v>1039</v>
      </c>
      <c r="D231" s="44"/>
      <c r="E231" s="63" t="s">
        <v>1035</v>
      </c>
      <c r="F231" s="46" t="s">
        <v>120</v>
      </c>
      <c r="G231" s="52" t="str">
        <f>VLOOKUP($E$11,$M$505:$BW$508,41,FALSE)</f>
        <v>25-55</v>
      </c>
      <c r="H231" s="173"/>
    </row>
    <row r="232" spans="2:9" s="26" customFormat="1" ht="66" x14ac:dyDescent="0.25">
      <c r="B232" s="133" t="s">
        <v>97</v>
      </c>
      <c r="C232" s="154" t="s">
        <v>1040</v>
      </c>
      <c r="D232" s="44" t="s">
        <v>112</v>
      </c>
      <c r="E232" s="82" t="s">
        <v>1307</v>
      </c>
      <c r="F232" s="83" t="s">
        <v>120</v>
      </c>
      <c r="G232" s="52">
        <f>VLOOKUP($E$11,$M$505:$BW$508,33,FALSE)</f>
        <v>600</v>
      </c>
      <c r="H232" s="173"/>
    </row>
    <row r="233" spans="2:9" s="26" customFormat="1" ht="26.4" x14ac:dyDescent="0.25">
      <c r="B233" s="133" t="s">
        <v>98</v>
      </c>
      <c r="C233" s="154" t="s">
        <v>1041</v>
      </c>
      <c r="D233" s="44" t="s">
        <v>112</v>
      </c>
      <c r="E233" s="82" t="s">
        <v>1042</v>
      </c>
      <c r="F233" s="83" t="s">
        <v>120</v>
      </c>
      <c r="G233" s="47" t="s">
        <v>114</v>
      </c>
      <c r="H233" s="173"/>
    </row>
    <row r="234" spans="2:9" s="26" customFormat="1" x14ac:dyDescent="0.25">
      <c r="B234" s="133" t="s">
        <v>99</v>
      </c>
      <c r="C234" s="154" t="s">
        <v>1041</v>
      </c>
      <c r="D234" s="44" t="s">
        <v>112</v>
      </c>
      <c r="E234" s="82" t="s">
        <v>1043</v>
      </c>
      <c r="F234" s="83"/>
      <c r="G234" s="47" t="s">
        <v>114</v>
      </c>
      <c r="H234" s="173"/>
    </row>
    <row r="235" spans="2:9" s="26" customFormat="1" ht="26.4" x14ac:dyDescent="0.25">
      <c r="B235" s="133" t="s">
        <v>101</v>
      </c>
      <c r="C235" s="154" t="s">
        <v>1044</v>
      </c>
      <c r="D235" s="44" t="s">
        <v>112</v>
      </c>
      <c r="E235" s="82" t="s">
        <v>1045</v>
      </c>
      <c r="F235" s="83"/>
      <c r="G235" s="52" t="str">
        <f>IF($G$228="N/A","N/A","Yes")</f>
        <v>Yes</v>
      </c>
      <c r="H235" s="173"/>
    </row>
    <row r="236" spans="2:9" x14ac:dyDescent="0.25">
      <c r="B236" s="135"/>
      <c r="C236" s="152"/>
      <c r="D236" s="86"/>
      <c r="E236" s="79"/>
      <c r="F236" s="87"/>
      <c r="G236" s="73"/>
      <c r="H236" s="178"/>
    </row>
    <row r="237" spans="2:9" s="158" customFormat="1" ht="15.75" customHeight="1" x14ac:dyDescent="0.25">
      <c r="B237" s="139" t="s">
        <v>103</v>
      </c>
      <c r="C237" s="154" t="s">
        <v>102</v>
      </c>
      <c r="D237" s="255" t="s">
        <v>26</v>
      </c>
      <c r="E237" s="256"/>
      <c r="F237" s="257"/>
      <c r="G237" s="85"/>
      <c r="H237" s="177"/>
      <c r="I237" s="14"/>
    </row>
    <row r="238" spans="2:9" ht="66" x14ac:dyDescent="0.25">
      <c r="B238" s="133" t="s">
        <v>104</v>
      </c>
      <c r="C238" s="150"/>
      <c r="D238" s="44" t="s">
        <v>112</v>
      </c>
      <c r="E238" s="51" t="s">
        <v>1313</v>
      </c>
      <c r="F238" s="46"/>
      <c r="G238" s="47" t="s">
        <v>147</v>
      </c>
      <c r="H238" s="173"/>
    </row>
    <row r="239" spans="2:9" x14ac:dyDescent="0.25">
      <c r="B239" s="135"/>
      <c r="C239" s="152"/>
      <c r="D239" s="86"/>
      <c r="E239" s="79"/>
      <c r="F239" s="87"/>
      <c r="G239" s="73"/>
      <c r="H239" s="178"/>
    </row>
    <row r="240" spans="2:9" s="158" customFormat="1" ht="15.75" customHeight="1" x14ac:dyDescent="0.25">
      <c r="B240" s="139" t="s">
        <v>569</v>
      </c>
      <c r="C240" s="154" t="s">
        <v>568</v>
      </c>
      <c r="D240" s="255" t="s">
        <v>1046</v>
      </c>
      <c r="E240" s="256"/>
      <c r="F240" s="257"/>
      <c r="G240" s="85"/>
      <c r="H240" s="177"/>
      <c r="I240" s="14"/>
    </row>
    <row r="241" spans="2:9" ht="24.75" customHeight="1" x14ac:dyDescent="0.25">
      <c r="B241" s="133" t="s">
        <v>570</v>
      </c>
      <c r="C241" s="150" t="s">
        <v>572</v>
      </c>
      <c r="D241" s="44" t="s">
        <v>112</v>
      </c>
      <c r="E241" s="51" t="s">
        <v>1047</v>
      </c>
      <c r="F241" s="46"/>
      <c r="G241" s="52" t="str">
        <f>IF($G$228="N/A","N/A","Integral / via cable termination")</f>
        <v>Integral / via cable termination</v>
      </c>
      <c r="H241" s="173"/>
    </row>
    <row r="242" spans="2:9" ht="26.4" x14ac:dyDescent="0.25">
      <c r="B242" s="133" t="s">
        <v>571</v>
      </c>
      <c r="C242" s="150" t="s">
        <v>1049</v>
      </c>
      <c r="D242" s="44" t="s">
        <v>112</v>
      </c>
      <c r="E242" s="51" t="s">
        <v>1048</v>
      </c>
      <c r="F242" s="46"/>
      <c r="G242" s="52" t="str">
        <f>IF($G$228="N/A","N/A","Yes")</f>
        <v>Yes</v>
      </c>
      <c r="H242" s="173"/>
    </row>
    <row r="243" spans="2:9" x14ac:dyDescent="0.25">
      <c r="B243" s="133" t="s">
        <v>573</v>
      </c>
      <c r="C243" s="150" t="s">
        <v>574</v>
      </c>
      <c r="D243" s="44" t="s">
        <v>112</v>
      </c>
      <c r="E243" s="51" t="s">
        <v>1163</v>
      </c>
      <c r="F243" s="46"/>
      <c r="G243" s="47" t="s">
        <v>113</v>
      </c>
      <c r="H243" s="173"/>
    </row>
    <row r="244" spans="2:9" x14ac:dyDescent="0.25">
      <c r="B244" s="133" t="s">
        <v>1165</v>
      </c>
      <c r="C244" s="150" t="s">
        <v>1164</v>
      </c>
      <c r="D244" s="44" t="s">
        <v>112</v>
      </c>
      <c r="E244" s="51" t="s">
        <v>1050</v>
      </c>
      <c r="F244" s="46"/>
      <c r="G244" s="47" t="s">
        <v>114</v>
      </c>
      <c r="H244" s="173"/>
    </row>
    <row r="245" spans="2:9" x14ac:dyDescent="0.25">
      <c r="B245" s="135"/>
      <c r="C245" s="152"/>
      <c r="D245" s="86"/>
      <c r="E245" s="79"/>
      <c r="F245" s="87"/>
      <c r="G245" s="73"/>
      <c r="H245" s="178"/>
    </row>
    <row r="246" spans="2:9" s="158" customFormat="1" ht="15.75" customHeight="1" x14ac:dyDescent="0.25">
      <c r="B246" s="139" t="s">
        <v>579</v>
      </c>
      <c r="C246" s="154" t="s">
        <v>578</v>
      </c>
      <c r="D246" s="255" t="s">
        <v>577</v>
      </c>
      <c r="E246" s="256"/>
      <c r="F246" s="257"/>
      <c r="G246" s="85"/>
      <c r="H246" s="177"/>
      <c r="I246" s="14"/>
    </row>
    <row r="247" spans="2:9" ht="26.4" x14ac:dyDescent="0.25">
      <c r="B247" s="133" t="s">
        <v>580</v>
      </c>
      <c r="C247" s="150" t="s">
        <v>582</v>
      </c>
      <c r="D247" s="44" t="s">
        <v>112</v>
      </c>
      <c r="E247" s="51" t="s">
        <v>1051</v>
      </c>
      <c r="F247" s="46"/>
      <c r="G247" s="47" t="s">
        <v>113</v>
      </c>
      <c r="H247" s="173"/>
    </row>
    <row r="248" spans="2:9" x14ac:dyDescent="0.25">
      <c r="B248" s="133" t="s">
        <v>581</v>
      </c>
      <c r="C248" s="150" t="s">
        <v>584</v>
      </c>
      <c r="D248" s="44"/>
      <c r="E248" s="63" t="s">
        <v>1052</v>
      </c>
      <c r="F248" s="46"/>
      <c r="G248" s="125" t="s">
        <v>113</v>
      </c>
      <c r="H248" s="173"/>
    </row>
    <row r="249" spans="2:9" ht="26.4" x14ac:dyDescent="0.25">
      <c r="B249" s="133" t="s">
        <v>583</v>
      </c>
      <c r="C249" s="150" t="s">
        <v>584</v>
      </c>
      <c r="D249" s="44"/>
      <c r="E249" s="63" t="s">
        <v>1053</v>
      </c>
      <c r="F249" s="46"/>
      <c r="G249" s="125" t="s">
        <v>1054</v>
      </c>
      <c r="H249" s="253"/>
    </row>
    <row r="250" spans="2:9" x14ac:dyDescent="0.25">
      <c r="B250" s="133" t="s">
        <v>585</v>
      </c>
      <c r="C250" s="150" t="s">
        <v>584</v>
      </c>
      <c r="D250" s="44"/>
      <c r="E250" s="63" t="s">
        <v>1055</v>
      </c>
      <c r="F250" s="46"/>
      <c r="G250" s="125" t="s">
        <v>113</v>
      </c>
      <c r="H250" s="253"/>
    </row>
    <row r="251" spans="2:9" ht="39.6" x14ac:dyDescent="0.25">
      <c r="B251" s="133" t="s">
        <v>587</v>
      </c>
      <c r="C251" s="150" t="s">
        <v>1056</v>
      </c>
      <c r="D251" s="44" t="s">
        <v>112</v>
      </c>
      <c r="E251" s="51" t="s">
        <v>1057</v>
      </c>
      <c r="F251" s="46"/>
      <c r="G251" s="47" t="s">
        <v>113</v>
      </c>
      <c r="H251" s="173"/>
    </row>
    <row r="252" spans="2:9" x14ac:dyDescent="0.25">
      <c r="B252" s="133" t="s">
        <v>588</v>
      </c>
      <c r="C252" s="150" t="s">
        <v>1056</v>
      </c>
      <c r="D252" s="44"/>
      <c r="E252" s="63" t="s">
        <v>860</v>
      </c>
      <c r="F252" s="46"/>
      <c r="G252" s="125" t="s">
        <v>113</v>
      </c>
      <c r="H252" s="173"/>
    </row>
    <row r="253" spans="2:9" ht="26.4" x14ac:dyDescent="0.25">
      <c r="B253" s="133" t="s">
        <v>589</v>
      </c>
      <c r="C253" s="150" t="s">
        <v>1056</v>
      </c>
      <c r="D253" s="44"/>
      <c r="E253" s="63" t="s">
        <v>1058</v>
      </c>
      <c r="F253" s="46"/>
      <c r="G253" s="125" t="s">
        <v>113</v>
      </c>
      <c r="H253" s="173"/>
    </row>
    <row r="254" spans="2:9" x14ac:dyDescent="0.25">
      <c r="B254" s="133" t="s">
        <v>590</v>
      </c>
      <c r="C254" s="150" t="s">
        <v>1056</v>
      </c>
      <c r="D254" s="44"/>
      <c r="E254" s="63" t="s">
        <v>1059</v>
      </c>
      <c r="F254" s="46"/>
      <c r="G254" s="125" t="s">
        <v>113</v>
      </c>
      <c r="H254" s="173"/>
    </row>
    <row r="255" spans="2:9" x14ac:dyDescent="0.25">
      <c r="B255" s="133"/>
      <c r="C255" s="150" t="s">
        <v>1060</v>
      </c>
      <c r="D255" s="44" t="s">
        <v>112</v>
      </c>
      <c r="E255" s="51" t="s">
        <v>1061</v>
      </c>
      <c r="F255" s="46"/>
      <c r="G255" s="52"/>
      <c r="H255" s="173"/>
    </row>
    <row r="256" spans="2:9" ht="26.4" x14ac:dyDescent="0.25">
      <c r="B256" s="133" t="s">
        <v>591</v>
      </c>
      <c r="C256" s="150"/>
      <c r="D256" s="44"/>
      <c r="E256" s="63" t="s">
        <v>861</v>
      </c>
      <c r="F256" s="46"/>
      <c r="G256" s="125" t="s">
        <v>113</v>
      </c>
      <c r="H256" s="173"/>
    </row>
    <row r="257" spans="2:9" ht="26.4" x14ac:dyDescent="0.25">
      <c r="B257" s="133" t="s">
        <v>592</v>
      </c>
      <c r="C257" s="150"/>
      <c r="D257" s="44"/>
      <c r="E257" s="63" t="s">
        <v>862</v>
      </c>
      <c r="F257" s="46"/>
      <c r="G257" s="125" t="s">
        <v>113</v>
      </c>
      <c r="H257" s="173"/>
    </row>
    <row r="258" spans="2:9" ht="26.4" x14ac:dyDescent="0.25">
      <c r="B258" s="133" t="s">
        <v>595</v>
      </c>
      <c r="C258" s="150"/>
      <c r="D258" s="44"/>
      <c r="E258" s="63" t="s">
        <v>863</v>
      </c>
      <c r="F258" s="46"/>
      <c r="G258" s="125" t="s">
        <v>113</v>
      </c>
      <c r="H258" s="173"/>
    </row>
    <row r="259" spans="2:9" ht="26.4" x14ac:dyDescent="0.25">
      <c r="B259" s="133" t="s">
        <v>1070</v>
      </c>
      <c r="C259" s="150" t="s">
        <v>1062</v>
      </c>
      <c r="D259" s="44" t="s">
        <v>112</v>
      </c>
      <c r="E259" s="51" t="s">
        <v>1063</v>
      </c>
      <c r="F259" s="46"/>
      <c r="G259" s="125" t="s">
        <v>113</v>
      </c>
      <c r="H259" s="173"/>
    </row>
    <row r="260" spans="2:9" ht="26.4" x14ac:dyDescent="0.25">
      <c r="B260" s="133" t="s">
        <v>1071</v>
      </c>
      <c r="C260" s="150" t="s">
        <v>1064</v>
      </c>
      <c r="D260" s="44" t="s">
        <v>112</v>
      </c>
      <c r="E260" s="51" t="s">
        <v>593</v>
      </c>
      <c r="F260" s="46"/>
      <c r="G260" s="125" t="s">
        <v>1054</v>
      </c>
      <c r="H260" s="173"/>
    </row>
    <row r="261" spans="2:9" ht="26.4" x14ac:dyDescent="0.25">
      <c r="B261" s="133" t="s">
        <v>1072</v>
      </c>
      <c r="C261" s="150" t="s">
        <v>1066</v>
      </c>
      <c r="D261" s="44" t="s">
        <v>112</v>
      </c>
      <c r="E261" s="51" t="s">
        <v>1065</v>
      </c>
      <c r="F261" s="46"/>
      <c r="G261" s="125" t="s">
        <v>113</v>
      </c>
      <c r="H261" s="173"/>
    </row>
    <row r="262" spans="2:9" x14ac:dyDescent="0.25">
      <c r="B262" s="133" t="s">
        <v>1073</v>
      </c>
      <c r="C262" s="150" t="s">
        <v>586</v>
      </c>
      <c r="D262" s="44" t="s">
        <v>112</v>
      </c>
      <c r="E262" s="51" t="s">
        <v>1067</v>
      </c>
      <c r="F262" s="46"/>
      <c r="G262" s="125" t="s">
        <v>1126</v>
      </c>
      <c r="H262" s="253"/>
    </row>
    <row r="263" spans="2:9" ht="26.4" x14ac:dyDescent="0.25">
      <c r="B263" s="133" t="s">
        <v>1074</v>
      </c>
      <c r="C263" s="150" t="s">
        <v>1068</v>
      </c>
      <c r="D263" s="44" t="s">
        <v>112</v>
      </c>
      <c r="E263" s="51" t="s">
        <v>1069</v>
      </c>
      <c r="F263" s="46"/>
      <c r="G263" s="125" t="s">
        <v>113</v>
      </c>
      <c r="H263" s="173"/>
    </row>
    <row r="264" spans="2:9" x14ac:dyDescent="0.25">
      <c r="B264" s="135"/>
      <c r="C264" s="152"/>
      <c r="D264" s="86"/>
      <c r="E264" s="79"/>
      <c r="F264" s="87"/>
      <c r="G264" s="73"/>
      <c r="H264" s="178"/>
    </row>
    <row r="265" spans="2:9" s="158" customFormat="1" ht="15.75" customHeight="1" x14ac:dyDescent="0.25">
      <c r="B265" s="139" t="s">
        <v>596</v>
      </c>
      <c r="C265" s="154" t="s">
        <v>598</v>
      </c>
      <c r="D265" s="255" t="s">
        <v>597</v>
      </c>
      <c r="E265" s="256"/>
      <c r="F265" s="257"/>
      <c r="G265" s="85"/>
      <c r="H265" s="177"/>
      <c r="I265" s="14"/>
    </row>
    <row r="266" spans="2:9" ht="26.4" x14ac:dyDescent="0.25">
      <c r="B266" s="133" t="s">
        <v>599</v>
      </c>
      <c r="C266" s="150" t="s">
        <v>600</v>
      </c>
      <c r="D266" s="44" t="s">
        <v>112</v>
      </c>
      <c r="E266" s="51" t="s">
        <v>0</v>
      </c>
      <c r="F266" s="46"/>
      <c r="G266" s="52" t="s">
        <v>113</v>
      </c>
      <c r="H266" s="173"/>
    </row>
    <row r="267" spans="2:9" x14ac:dyDescent="0.25">
      <c r="B267" s="133" t="s">
        <v>601</v>
      </c>
      <c r="C267" s="150" t="s">
        <v>1077</v>
      </c>
      <c r="D267" s="44" t="s">
        <v>112</v>
      </c>
      <c r="E267" s="51" t="s">
        <v>1075</v>
      </c>
      <c r="F267" s="46"/>
      <c r="G267" s="47" t="s">
        <v>114</v>
      </c>
      <c r="H267" s="253"/>
    </row>
    <row r="268" spans="2:9" x14ac:dyDescent="0.25">
      <c r="B268" s="133"/>
      <c r="C268" s="150" t="s">
        <v>1076</v>
      </c>
      <c r="D268" s="44" t="s">
        <v>112</v>
      </c>
      <c r="E268" s="260" t="s">
        <v>602</v>
      </c>
      <c r="F268" s="261"/>
      <c r="G268" s="66"/>
      <c r="H268" s="177"/>
    </row>
    <row r="269" spans="2:9" x14ac:dyDescent="0.25">
      <c r="B269" s="133" t="s">
        <v>603</v>
      </c>
      <c r="C269" s="150" t="s">
        <v>605</v>
      </c>
      <c r="D269" s="44"/>
      <c r="E269" s="63" t="s">
        <v>848</v>
      </c>
      <c r="F269" s="46"/>
      <c r="G269" s="125" t="s">
        <v>113</v>
      </c>
      <c r="H269" s="173"/>
    </row>
    <row r="270" spans="2:9" ht="26.4" x14ac:dyDescent="0.25">
      <c r="B270" s="133" t="s">
        <v>604</v>
      </c>
      <c r="C270" s="150" t="s">
        <v>607</v>
      </c>
      <c r="D270" s="44"/>
      <c r="E270" s="63" t="s">
        <v>1269</v>
      </c>
      <c r="F270" s="46"/>
      <c r="G270" s="52" t="s">
        <v>113</v>
      </c>
      <c r="H270" s="173"/>
    </row>
    <row r="271" spans="2:9" x14ac:dyDescent="0.25">
      <c r="B271" s="133"/>
      <c r="C271" s="150" t="s">
        <v>608</v>
      </c>
      <c r="D271" s="44" t="s">
        <v>112</v>
      </c>
      <c r="E271" s="260" t="s">
        <v>614</v>
      </c>
      <c r="F271" s="261"/>
      <c r="G271" s="66"/>
      <c r="H271" s="177"/>
    </row>
    <row r="272" spans="2:9" x14ac:dyDescent="0.25">
      <c r="B272" s="133" t="s">
        <v>606</v>
      </c>
      <c r="C272" s="150" t="s">
        <v>624</v>
      </c>
      <c r="D272" s="44"/>
      <c r="E272" s="63" t="s">
        <v>849</v>
      </c>
      <c r="F272" s="46"/>
      <c r="G272" s="52" t="s">
        <v>113</v>
      </c>
      <c r="H272" s="173"/>
    </row>
    <row r="273" spans="2:9" x14ac:dyDescent="0.25">
      <c r="B273" s="133" t="s">
        <v>609</v>
      </c>
      <c r="C273" s="150"/>
      <c r="D273" s="44"/>
      <c r="E273" s="63" t="s">
        <v>850</v>
      </c>
      <c r="F273" s="46" t="s">
        <v>120</v>
      </c>
      <c r="G273" s="84" t="s">
        <v>403</v>
      </c>
      <c r="H273" s="173"/>
    </row>
    <row r="274" spans="2:9" x14ac:dyDescent="0.25">
      <c r="B274" s="133" t="s">
        <v>610</v>
      </c>
      <c r="C274" s="150"/>
      <c r="D274" s="44"/>
      <c r="E274" s="63" t="s">
        <v>851</v>
      </c>
      <c r="F274" s="46" t="s">
        <v>120</v>
      </c>
      <c r="G274" s="84" t="s">
        <v>619</v>
      </c>
      <c r="H274" s="173"/>
      <c r="I274" s="21"/>
    </row>
    <row r="275" spans="2:9" ht="52.8" x14ac:dyDescent="0.25">
      <c r="B275" s="133" t="s">
        <v>611</v>
      </c>
      <c r="C275" s="150" t="s">
        <v>623</v>
      </c>
      <c r="D275" s="44"/>
      <c r="E275" s="63" t="s">
        <v>852</v>
      </c>
      <c r="F275" s="46"/>
      <c r="G275" s="52" t="s">
        <v>622</v>
      </c>
      <c r="H275" s="253"/>
      <c r="I275" s="21"/>
    </row>
    <row r="276" spans="2:9" x14ac:dyDescent="0.25">
      <c r="B276" s="133" t="s">
        <v>612</v>
      </c>
      <c r="C276" s="150" t="s">
        <v>1078</v>
      </c>
      <c r="D276" s="44"/>
      <c r="E276" s="63" t="s">
        <v>853</v>
      </c>
      <c r="F276" s="46"/>
      <c r="G276" s="52" t="s">
        <v>113</v>
      </c>
      <c r="H276" s="173"/>
      <c r="I276" s="21"/>
    </row>
    <row r="277" spans="2:9" x14ac:dyDescent="0.25">
      <c r="B277" s="133" t="s">
        <v>613</v>
      </c>
      <c r="C277" s="150"/>
      <c r="D277" s="44"/>
      <c r="E277" s="63" t="s">
        <v>850</v>
      </c>
      <c r="F277" s="46" t="s">
        <v>120</v>
      </c>
      <c r="G277" s="52" t="s">
        <v>620</v>
      </c>
      <c r="H277" s="173"/>
      <c r="I277" s="21"/>
    </row>
    <row r="278" spans="2:9" x14ac:dyDescent="0.25">
      <c r="B278" s="133" t="s">
        <v>615</v>
      </c>
      <c r="C278" s="150"/>
      <c r="D278" s="44"/>
      <c r="E278" s="63" t="s">
        <v>851</v>
      </c>
      <c r="F278" s="46" t="s">
        <v>120</v>
      </c>
      <c r="G278" s="52" t="s">
        <v>619</v>
      </c>
      <c r="H278" s="173"/>
      <c r="I278" s="21"/>
    </row>
    <row r="279" spans="2:9" ht="26.4" x14ac:dyDescent="0.25">
      <c r="B279" s="133" t="s">
        <v>616</v>
      </c>
      <c r="C279" s="150" t="s">
        <v>1078</v>
      </c>
      <c r="D279" s="44"/>
      <c r="E279" s="63" t="s">
        <v>854</v>
      </c>
      <c r="F279" s="46"/>
      <c r="G279" s="52" t="s">
        <v>621</v>
      </c>
      <c r="H279" s="173"/>
      <c r="I279" s="21"/>
    </row>
    <row r="280" spans="2:9" x14ac:dyDescent="0.25">
      <c r="B280" s="133"/>
      <c r="C280" s="150" t="s">
        <v>626</v>
      </c>
      <c r="D280" s="44" t="s">
        <v>112</v>
      </c>
      <c r="E280" s="260" t="s">
        <v>625</v>
      </c>
      <c r="F280" s="261"/>
      <c r="G280" s="66"/>
      <c r="H280" s="177"/>
      <c r="I280" s="21"/>
    </row>
    <row r="281" spans="2:9" ht="26.4" x14ac:dyDescent="0.25">
      <c r="B281" s="133" t="s">
        <v>617</v>
      </c>
      <c r="C281" s="150" t="s">
        <v>630</v>
      </c>
      <c r="D281" s="44"/>
      <c r="E281" s="63" t="s">
        <v>594</v>
      </c>
      <c r="F281" s="46"/>
      <c r="G281" s="52" t="str">
        <f>IF($G$63="N/A","N/A","Yes")</f>
        <v>Yes</v>
      </c>
      <c r="H281" s="173"/>
      <c r="I281" s="21"/>
    </row>
    <row r="282" spans="2:9" x14ac:dyDescent="0.25">
      <c r="B282" s="133" t="s">
        <v>618</v>
      </c>
      <c r="C282" s="150" t="s">
        <v>630</v>
      </c>
      <c r="D282" s="44"/>
      <c r="E282" s="63" t="s">
        <v>1079</v>
      </c>
      <c r="F282" s="46"/>
      <c r="G282" s="125" t="str">
        <f>IF($G$63="N/A","N/A","Yes")</f>
        <v>Yes</v>
      </c>
      <c r="H282" s="173"/>
      <c r="I282" s="21"/>
    </row>
    <row r="283" spans="2:9" ht="26.4" x14ac:dyDescent="0.25">
      <c r="B283" s="133" t="s">
        <v>627</v>
      </c>
      <c r="C283" s="150" t="s">
        <v>630</v>
      </c>
      <c r="D283" s="44"/>
      <c r="E283" s="63" t="s">
        <v>1081</v>
      </c>
      <c r="F283" s="46"/>
      <c r="G283" s="125" t="s">
        <v>113</v>
      </c>
      <c r="H283" s="173"/>
      <c r="I283" s="21"/>
    </row>
    <row r="284" spans="2:9" ht="39.6" x14ac:dyDescent="0.25">
      <c r="B284" s="133" t="s">
        <v>628</v>
      </c>
      <c r="C284" s="150" t="s">
        <v>631</v>
      </c>
      <c r="D284" s="44"/>
      <c r="E284" s="63" t="s">
        <v>1166</v>
      </c>
      <c r="F284" s="46"/>
      <c r="G284" s="125" t="str">
        <f>IF($G$63="N/A","N/A","Yes")</f>
        <v>Yes</v>
      </c>
      <c r="H284" s="173"/>
      <c r="I284" s="21"/>
    </row>
    <row r="285" spans="2:9" x14ac:dyDescent="0.25">
      <c r="B285" s="133" t="s">
        <v>629</v>
      </c>
      <c r="C285" s="150" t="s">
        <v>72</v>
      </c>
      <c r="D285" s="44"/>
      <c r="E285" s="63" t="s">
        <v>14</v>
      </c>
      <c r="F285" s="46"/>
      <c r="G285" s="125" t="s">
        <v>113</v>
      </c>
      <c r="H285" s="173"/>
      <c r="I285" s="21"/>
    </row>
    <row r="286" spans="2:9" x14ac:dyDescent="0.25">
      <c r="B286" s="133" t="s">
        <v>632</v>
      </c>
      <c r="C286" s="150" t="s">
        <v>1082</v>
      </c>
      <c r="D286" s="44"/>
      <c r="E286" s="63" t="s">
        <v>855</v>
      </c>
      <c r="F286" s="46"/>
      <c r="G286" s="125" t="s">
        <v>113</v>
      </c>
      <c r="H286" s="173"/>
      <c r="I286" s="21"/>
    </row>
    <row r="287" spans="2:9" x14ac:dyDescent="0.25">
      <c r="B287" s="133" t="s">
        <v>633</v>
      </c>
      <c r="C287" s="150" t="s">
        <v>1083</v>
      </c>
      <c r="D287" s="44"/>
      <c r="E287" s="63" t="s">
        <v>1080</v>
      </c>
      <c r="F287" s="46"/>
      <c r="G287" s="125" t="str">
        <f>IF($AZ$510="Yes","Yes","N/A")</f>
        <v>Yes</v>
      </c>
      <c r="H287" s="173"/>
      <c r="I287" s="21"/>
    </row>
    <row r="288" spans="2:9" x14ac:dyDescent="0.25">
      <c r="B288" s="133"/>
      <c r="C288" s="150" t="s">
        <v>635</v>
      </c>
      <c r="D288" s="44" t="s">
        <v>112</v>
      </c>
      <c r="E288" s="260" t="s">
        <v>634</v>
      </c>
      <c r="F288" s="261"/>
      <c r="G288" s="66"/>
      <c r="H288" s="177"/>
      <c r="I288" s="21"/>
    </row>
    <row r="289" spans="2:9" ht="12.75" customHeight="1" x14ac:dyDescent="0.25">
      <c r="B289" s="133" t="s">
        <v>636</v>
      </c>
      <c r="C289" s="150" t="s">
        <v>638</v>
      </c>
      <c r="D289" s="44"/>
      <c r="E289" s="63" t="s">
        <v>856</v>
      </c>
      <c r="F289" s="46"/>
      <c r="G289" s="52" t="s">
        <v>113</v>
      </c>
      <c r="H289" s="173"/>
      <c r="I289" s="21"/>
    </row>
    <row r="290" spans="2:9" x14ac:dyDescent="0.25">
      <c r="B290" s="133" t="s">
        <v>637</v>
      </c>
      <c r="C290" s="150" t="s">
        <v>639</v>
      </c>
      <c r="D290" s="44"/>
      <c r="E290" s="63" t="s">
        <v>1167</v>
      </c>
      <c r="F290" s="46" t="s">
        <v>120</v>
      </c>
      <c r="G290" s="52" t="s">
        <v>168</v>
      </c>
      <c r="H290" s="173"/>
    </row>
    <row r="291" spans="2:9" x14ac:dyDescent="0.25">
      <c r="B291" s="133"/>
      <c r="C291" s="150" t="s">
        <v>640</v>
      </c>
      <c r="D291" s="44" t="s">
        <v>112</v>
      </c>
      <c r="E291" s="260" t="s">
        <v>643</v>
      </c>
      <c r="F291" s="261"/>
      <c r="G291" s="66"/>
      <c r="H291" s="177"/>
    </row>
    <row r="292" spans="2:9" ht="12.75" customHeight="1" x14ac:dyDescent="0.25">
      <c r="B292" s="133" t="s">
        <v>641</v>
      </c>
      <c r="C292" s="150" t="s">
        <v>644</v>
      </c>
      <c r="D292" s="44"/>
      <c r="E292" s="63" t="s">
        <v>1084</v>
      </c>
      <c r="F292" s="46"/>
      <c r="G292" s="52" t="str">
        <f>VLOOKUP($E$11,$M$505:$BW$508,35,FALSE)</f>
        <v>Cloud Grey</v>
      </c>
      <c r="H292" s="173"/>
    </row>
    <row r="293" spans="2:9" x14ac:dyDescent="0.25">
      <c r="B293" s="133" t="s">
        <v>642</v>
      </c>
      <c r="C293" s="150" t="s">
        <v>645</v>
      </c>
      <c r="D293" s="44"/>
      <c r="E293" s="63" t="s">
        <v>857</v>
      </c>
      <c r="F293" s="46"/>
      <c r="G293" s="52" t="s">
        <v>646</v>
      </c>
      <c r="H293" s="173"/>
    </row>
    <row r="294" spans="2:9" x14ac:dyDescent="0.25">
      <c r="B294" s="135"/>
      <c r="C294" s="152"/>
      <c r="D294" s="86"/>
      <c r="E294" s="79"/>
      <c r="F294" s="87"/>
      <c r="G294" s="73"/>
      <c r="H294" s="178"/>
    </row>
    <row r="295" spans="2:9" s="158" customFormat="1" ht="32.25" customHeight="1" x14ac:dyDescent="0.25">
      <c r="B295" s="139" t="s">
        <v>651</v>
      </c>
      <c r="C295" s="154" t="s">
        <v>652</v>
      </c>
      <c r="D295" s="255" t="s">
        <v>27</v>
      </c>
      <c r="E295" s="256"/>
      <c r="F295" s="257"/>
      <c r="G295" s="85"/>
      <c r="H295" s="177"/>
      <c r="I295" s="14"/>
    </row>
    <row r="296" spans="2:9" x14ac:dyDescent="0.25">
      <c r="B296" s="133">
        <v>20.100000000000001</v>
      </c>
      <c r="C296" s="150" t="s">
        <v>687</v>
      </c>
      <c r="D296" s="44" t="s">
        <v>112</v>
      </c>
      <c r="E296" s="51" t="s">
        <v>214</v>
      </c>
      <c r="F296" s="46"/>
      <c r="G296" s="52" t="str">
        <f>IF($G$14="VT Panel","N/A","Yes")</f>
        <v>Yes</v>
      </c>
      <c r="H296" s="173"/>
    </row>
    <row r="297" spans="2:9" x14ac:dyDescent="0.25">
      <c r="B297" s="133" t="s">
        <v>798</v>
      </c>
      <c r="C297" s="150" t="s">
        <v>687</v>
      </c>
      <c r="D297" s="44" t="s">
        <v>112</v>
      </c>
      <c r="E297" s="51" t="s">
        <v>801</v>
      </c>
      <c r="F297" s="46"/>
      <c r="G297" s="52" t="str">
        <f>IF($G$14="VT Panel","N/A","xxxxxxxxxx")</f>
        <v>xxxxxxxxxx</v>
      </c>
      <c r="H297" s="253"/>
    </row>
    <row r="298" spans="2:9" x14ac:dyDescent="0.25">
      <c r="B298" s="133" t="s">
        <v>799</v>
      </c>
      <c r="C298" s="150" t="s">
        <v>687</v>
      </c>
      <c r="D298" s="44" t="s">
        <v>112</v>
      </c>
      <c r="E298" s="51" t="s">
        <v>1085</v>
      </c>
      <c r="F298" s="46"/>
      <c r="G298" s="52" t="str">
        <f>IF($G$14="VT Panel","N/A","xxxxxxxxxx")</f>
        <v>xxxxxxxxxx</v>
      </c>
      <c r="H298" s="253"/>
    </row>
    <row r="299" spans="2:9" x14ac:dyDescent="0.25">
      <c r="B299" s="133" t="s">
        <v>800</v>
      </c>
      <c r="C299" s="150" t="s">
        <v>675</v>
      </c>
      <c r="D299" s="44" t="s">
        <v>112</v>
      </c>
      <c r="E299" s="51" t="s">
        <v>653</v>
      </c>
      <c r="F299" s="46"/>
      <c r="G299" s="125" t="str">
        <f>IF($G$14="VT Panel","N/A","D-DT-5408")</f>
        <v>D-DT-5408</v>
      </c>
      <c r="H299" s="253"/>
    </row>
    <row r="300" spans="2:9" s="26" customFormat="1" x14ac:dyDescent="0.25">
      <c r="B300" s="133" t="s">
        <v>688</v>
      </c>
      <c r="C300" s="154" t="s">
        <v>1168</v>
      </c>
      <c r="D300" s="44" t="s">
        <v>112</v>
      </c>
      <c r="E300" s="82" t="s">
        <v>676</v>
      </c>
      <c r="F300" s="83" t="s">
        <v>206</v>
      </c>
      <c r="G300" s="125" t="str">
        <f>IF($G$14="VT Panel","N/A",G27)</f>
        <v>31,5</v>
      </c>
      <c r="H300" s="173"/>
    </row>
    <row r="301" spans="2:9" ht="66" customHeight="1" x14ac:dyDescent="0.25">
      <c r="B301" s="133" t="s">
        <v>691</v>
      </c>
      <c r="C301" s="150" t="s">
        <v>675</v>
      </c>
      <c r="D301" s="44" t="s">
        <v>112</v>
      </c>
      <c r="E301" s="51" t="s">
        <v>677</v>
      </c>
      <c r="F301" s="46"/>
      <c r="G301" s="125" t="str">
        <f>IF($G$14="VT Panel","N/A","Cable side for Feeder/Incomer panel, to be stated for Bus-section panel")</f>
        <v>Cable side for Feeder/Incomer panel, to be stated for Bus-section panel</v>
      </c>
      <c r="H301" s="173"/>
    </row>
    <row r="302" spans="2:9" x14ac:dyDescent="0.25">
      <c r="B302" s="133" t="s">
        <v>692</v>
      </c>
      <c r="C302" s="150" t="s">
        <v>689</v>
      </c>
      <c r="D302" s="44" t="s">
        <v>112</v>
      </c>
      <c r="E302" s="51" t="s">
        <v>690</v>
      </c>
      <c r="F302" s="46"/>
      <c r="G302" s="125" t="str">
        <f>IF($G$14="VT Panel","N/A","D-DT-5408")</f>
        <v>D-DT-5408</v>
      </c>
      <c r="H302" s="253"/>
    </row>
    <row r="303" spans="2:9" x14ac:dyDescent="0.25">
      <c r="B303" s="133"/>
      <c r="C303" s="150"/>
      <c r="D303" s="44" t="s">
        <v>112</v>
      </c>
      <c r="E303" s="64" t="s">
        <v>167</v>
      </c>
      <c r="F303" s="65"/>
      <c r="G303" s="66"/>
      <c r="H303" s="177"/>
    </row>
    <row r="304" spans="2:9" x14ac:dyDescent="0.25">
      <c r="B304" s="133" t="s">
        <v>669</v>
      </c>
      <c r="C304" s="150" t="s">
        <v>675</v>
      </c>
      <c r="D304" s="44"/>
      <c r="E304" s="51" t="s">
        <v>149</v>
      </c>
      <c r="F304" s="46"/>
      <c r="G304" s="52" t="str">
        <f>IF($G$14="VT Panel","N/A","CORE 1")</f>
        <v>CORE 1</v>
      </c>
      <c r="H304" s="173"/>
    </row>
    <row r="305" spans="2:9" x14ac:dyDescent="0.25">
      <c r="B305" s="133" t="s">
        <v>670</v>
      </c>
      <c r="C305" s="150" t="s">
        <v>675</v>
      </c>
      <c r="D305" s="44"/>
      <c r="E305" s="51" t="s">
        <v>150</v>
      </c>
      <c r="F305" s="46"/>
      <c r="G305" s="125" t="str">
        <f>IF($G$14="VT Panel","N/A","PX")</f>
        <v>PX</v>
      </c>
      <c r="H305" s="173"/>
    </row>
    <row r="306" spans="2:9" ht="30" customHeight="1" x14ac:dyDescent="0.25">
      <c r="B306" s="133" t="s">
        <v>671</v>
      </c>
      <c r="C306" s="150" t="s">
        <v>675</v>
      </c>
      <c r="D306" s="44"/>
      <c r="E306" s="51" t="s">
        <v>662</v>
      </c>
      <c r="F306" s="46" t="s">
        <v>118</v>
      </c>
      <c r="G306" s="52" t="str">
        <f>VLOOKUP($E$11,$M$505:$BW$508,36,FALSE)</f>
        <v>1/200/400/600/800</v>
      </c>
      <c r="H306" s="253"/>
    </row>
    <row r="307" spans="2:9" x14ac:dyDescent="0.25">
      <c r="B307" s="133"/>
      <c r="C307" s="150"/>
      <c r="D307" s="44" t="s">
        <v>112</v>
      </c>
      <c r="E307" s="20" t="s">
        <v>674</v>
      </c>
      <c r="F307" s="54"/>
      <c r="G307" s="66"/>
      <c r="H307" s="177"/>
    </row>
    <row r="308" spans="2:9" ht="25.5" customHeight="1" x14ac:dyDescent="0.25">
      <c r="B308" s="133" t="s">
        <v>672</v>
      </c>
      <c r="C308" s="150" t="s">
        <v>675</v>
      </c>
      <c r="D308" s="44"/>
      <c r="E308" s="51" t="s">
        <v>149</v>
      </c>
      <c r="F308" s="46"/>
      <c r="G308" s="52" t="str">
        <f>IF($G$14="VT Panel","N/A",IF($G$14="Bus-section","N/A","CORES 2 &amp; 3"))</f>
        <v>CORES 2 &amp; 3</v>
      </c>
      <c r="H308" s="173"/>
    </row>
    <row r="309" spans="2:9" ht="43.5" customHeight="1" x14ac:dyDescent="0.25">
      <c r="B309" s="133" t="s">
        <v>693</v>
      </c>
      <c r="C309" s="150" t="s">
        <v>675</v>
      </c>
      <c r="D309" s="44"/>
      <c r="E309" s="51" t="s">
        <v>150</v>
      </c>
      <c r="F309" s="46"/>
      <c r="G309" s="52" t="str">
        <f>VLOOKUP($E$11,$M$505:$BW$508,38,FALSE)</f>
        <v>0,5 / 0,2 / 0,2 / 0,2/10P10</v>
      </c>
      <c r="H309" s="173"/>
    </row>
    <row r="310" spans="2:9" x14ac:dyDescent="0.25">
      <c r="B310" s="133"/>
      <c r="C310" s="150"/>
      <c r="D310" s="44"/>
      <c r="E310" s="159" t="s">
        <v>673</v>
      </c>
      <c r="F310" s="46"/>
      <c r="G310" s="52"/>
      <c r="H310" s="173"/>
    </row>
    <row r="311" spans="2:9" x14ac:dyDescent="0.25">
      <c r="B311" s="133" t="s">
        <v>796</v>
      </c>
      <c r="C311" s="150" t="s">
        <v>675</v>
      </c>
      <c r="D311" s="44"/>
      <c r="E311" s="51" t="s">
        <v>664</v>
      </c>
      <c r="F311" s="46" t="s">
        <v>151</v>
      </c>
      <c r="G311" s="52">
        <f>VLOOKUP($E$11,$M$505:$BW$508,39,FALSE)</f>
        <v>5</v>
      </c>
      <c r="H311" s="173"/>
    </row>
    <row r="312" spans="2:9" ht="27.75" customHeight="1" x14ac:dyDescent="0.25">
      <c r="B312" s="133" t="s">
        <v>797</v>
      </c>
      <c r="C312" s="150" t="s">
        <v>675</v>
      </c>
      <c r="D312" s="44"/>
      <c r="E312" s="51" t="s">
        <v>663</v>
      </c>
      <c r="F312" s="46" t="s">
        <v>118</v>
      </c>
      <c r="G312" s="52" t="str">
        <f>VLOOKUP($E$11,$M$505:$BW$508,37,FALSE)</f>
        <v>200/400/600/800/1</v>
      </c>
      <c r="H312" s="173"/>
    </row>
    <row r="313" spans="2:9" x14ac:dyDescent="0.25">
      <c r="B313" s="133" t="s">
        <v>1087</v>
      </c>
      <c r="C313" s="150" t="s">
        <v>1088</v>
      </c>
      <c r="D313" s="44" t="s">
        <v>112</v>
      </c>
      <c r="E313" s="51" t="s">
        <v>1086</v>
      </c>
      <c r="F313" s="46"/>
      <c r="G313" s="125" t="str">
        <f>IF($G$14="VT Panel","N/A","xxxxxxxxxx")</f>
        <v>xxxxxxxxxx</v>
      </c>
      <c r="H313" s="173"/>
    </row>
    <row r="314" spans="2:9" x14ac:dyDescent="0.25">
      <c r="B314" s="133" t="s">
        <v>1087</v>
      </c>
      <c r="C314" s="150" t="s">
        <v>1090</v>
      </c>
      <c r="D314" s="44" t="s">
        <v>112</v>
      </c>
      <c r="E314" s="51" t="s">
        <v>1089</v>
      </c>
      <c r="F314" s="46"/>
      <c r="G314" s="125" t="str">
        <f>IF($G$14="VT Panel","N/A","Yes")</f>
        <v>Yes</v>
      </c>
      <c r="H314" s="173"/>
    </row>
    <row r="315" spans="2:9" x14ac:dyDescent="0.25">
      <c r="B315" s="133" t="s">
        <v>1169</v>
      </c>
      <c r="C315" s="150" t="s">
        <v>1091</v>
      </c>
      <c r="D315" s="44" t="s">
        <v>112</v>
      </c>
      <c r="E315" s="51" t="s">
        <v>1170</v>
      </c>
      <c r="F315" s="46"/>
      <c r="G315" s="125" t="str">
        <f>IF($G$14="Bus-section","Yes","N/A")</f>
        <v>N/A</v>
      </c>
      <c r="H315" s="173"/>
    </row>
    <row r="316" spans="2:9" x14ac:dyDescent="0.25">
      <c r="B316" s="135"/>
      <c r="C316" s="152"/>
      <c r="D316" s="86"/>
      <c r="E316" s="79"/>
      <c r="F316" s="87"/>
      <c r="G316" s="73"/>
      <c r="H316" s="178"/>
    </row>
    <row r="317" spans="2:9" s="158" customFormat="1" ht="33.75" customHeight="1" x14ac:dyDescent="0.25">
      <c r="B317" s="139" t="s">
        <v>679</v>
      </c>
      <c r="C317" s="154" t="s">
        <v>678</v>
      </c>
      <c r="D317" s="255" t="s">
        <v>1270</v>
      </c>
      <c r="E317" s="256"/>
      <c r="F317" s="257"/>
      <c r="G317" s="85"/>
      <c r="H317" s="177"/>
      <c r="I317" s="14"/>
    </row>
    <row r="318" spans="2:9" ht="26.4" x14ac:dyDescent="0.25">
      <c r="B318" s="133" t="s">
        <v>680</v>
      </c>
      <c r="C318" s="150" t="s">
        <v>684</v>
      </c>
      <c r="D318" s="44" t="s">
        <v>112</v>
      </c>
      <c r="E318" s="51" t="s">
        <v>1092</v>
      </c>
      <c r="F318" s="46"/>
      <c r="G318" s="47" t="s">
        <v>113</v>
      </c>
      <c r="H318" s="173"/>
    </row>
    <row r="319" spans="2:9" x14ac:dyDescent="0.25">
      <c r="B319" s="133" t="s">
        <v>681</v>
      </c>
      <c r="C319" s="150" t="s">
        <v>683</v>
      </c>
      <c r="D319" s="44" t="s">
        <v>112</v>
      </c>
      <c r="E319" s="51" t="s">
        <v>215</v>
      </c>
      <c r="F319" s="46"/>
      <c r="G319" s="125" t="s">
        <v>113</v>
      </c>
      <c r="H319" s="173"/>
    </row>
    <row r="320" spans="2:9" x14ac:dyDescent="0.25">
      <c r="B320" s="133" t="s">
        <v>682</v>
      </c>
      <c r="C320" s="150" t="s">
        <v>683</v>
      </c>
      <c r="D320" s="44" t="s">
        <v>112</v>
      </c>
      <c r="E320" s="51" t="s">
        <v>1271</v>
      </c>
      <c r="F320" s="46"/>
      <c r="G320" s="47" t="s">
        <v>114</v>
      </c>
      <c r="H320" s="253"/>
    </row>
    <row r="321" spans="2:9" x14ac:dyDescent="0.25">
      <c r="B321" s="133" t="s">
        <v>712</v>
      </c>
      <c r="C321" s="150" t="s">
        <v>685</v>
      </c>
      <c r="D321" s="44" t="s">
        <v>112</v>
      </c>
      <c r="E321" s="51" t="s">
        <v>1272</v>
      </c>
      <c r="F321" s="46"/>
      <c r="G321" s="47" t="s">
        <v>113</v>
      </c>
      <c r="H321" s="173"/>
    </row>
    <row r="322" spans="2:9" x14ac:dyDescent="0.25">
      <c r="B322" s="133" t="s">
        <v>713</v>
      </c>
      <c r="C322" s="150" t="s">
        <v>686</v>
      </c>
      <c r="D322" s="44" t="s">
        <v>112</v>
      </c>
      <c r="E322" s="51" t="s">
        <v>1273</v>
      </c>
      <c r="F322" s="46"/>
      <c r="G322" s="47" t="s">
        <v>113</v>
      </c>
      <c r="H322" s="173"/>
    </row>
    <row r="323" spans="2:9" x14ac:dyDescent="0.25">
      <c r="B323" s="133" t="s">
        <v>714</v>
      </c>
      <c r="C323" s="150" t="s">
        <v>1095</v>
      </c>
      <c r="D323" s="44" t="s">
        <v>112</v>
      </c>
      <c r="E323" s="51" t="s">
        <v>1094</v>
      </c>
      <c r="F323" s="46"/>
      <c r="G323" s="47" t="s">
        <v>113</v>
      </c>
      <c r="H323" s="173"/>
    </row>
    <row r="324" spans="2:9" x14ac:dyDescent="0.25">
      <c r="B324" s="133" t="s">
        <v>715</v>
      </c>
      <c r="C324" s="150" t="s">
        <v>802</v>
      </c>
      <c r="D324" s="44" t="s">
        <v>112</v>
      </c>
      <c r="E324" s="51" t="s">
        <v>1274</v>
      </c>
      <c r="F324" s="46"/>
      <c r="G324" s="47" t="s">
        <v>113</v>
      </c>
      <c r="H324" s="173"/>
    </row>
    <row r="325" spans="2:9" x14ac:dyDescent="0.25">
      <c r="B325" s="133"/>
      <c r="C325" s="150" t="s">
        <v>694</v>
      </c>
      <c r="D325" s="44" t="s">
        <v>112</v>
      </c>
      <c r="E325" s="51" t="s">
        <v>1275</v>
      </c>
      <c r="F325" s="46"/>
      <c r="G325" s="47" t="s">
        <v>1093</v>
      </c>
      <c r="H325" s="253"/>
    </row>
    <row r="326" spans="2:9" x14ac:dyDescent="0.25">
      <c r="B326" s="133" t="s">
        <v>716</v>
      </c>
      <c r="C326" s="150"/>
      <c r="D326" s="44" t="s">
        <v>112</v>
      </c>
      <c r="E326" s="64" t="s">
        <v>1101</v>
      </c>
      <c r="F326" s="65"/>
      <c r="G326" s="66"/>
      <c r="H326" s="177"/>
    </row>
    <row r="327" spans="2:9" ht="26.4" x14ac:dyDescent="0.25">
      <c r="B327" s="133" t="s">
        <v>717</v>
      </c>
      <c r="C327" s="150" t="s">
        <v>694</v>
      </c>
      <c r="D327" s="44"/>
      <c r="E327" s="51" t="s">
        <v>695</v>
      </c>
      <c r="F327" s="46"/>
      <c r="G327" s="52" t="s">
        <v>1097</v>
      </c>
      <c r="H327" s="173"/>
    </row>
    <row r="328" spans="2:9" x14ac:dyDescent="0.25">
      <c r="B328" s="133" t="s">
        <v>718</v>
      </c>
      <c r="C328" s="150" t="s">
        <v>694</v>
      </c>
      <c r="D328" s="44"/>
      <c r="E328" s="51" t="s">
        <v>150</v>
      </c>
      <c r="F328" s="46"/>
      <c r="G328" s="125" t="s">
        <v>1098</v>
      </c>
      <c r="H328" s="173"/>
    </row>
    <row r="329" spans="2:9" x14ac:dyDescent="0.25">
      <c r="B329" s="133" t="s">
        <v>719</v>
      </c>
      <c r="C329" s="150" t="s">
        <v>694</v>
      </c>
      <c r="D329" s="44"/>
      <c r="E329" s="51" t="s">
        <v>664</v>
      </c>
      <c r="F329" s="46" t="s">
        <v>151</v>
      </c>
      <c r="G329" s="125">
        <v>50</v>
      </c>
      <c r="H329" s="173"/>
    </row>
    <row r="330" spans="2:9" ht="26.4" x14ac:dyDescent="0.25">
      <c r="B330" s="133" t="s">
        <v>720</v>
      </c>
      <c r="C330" s="150" t="s">
        <v>694</v>
      </c>
      <c r="D330" s="44"/>
      <c r="E330" s="51" t="s">
        <v>696</v>
      </c>
      <c r="F330" s="46"/>
      <c r="G330" s="125" t="s">
        <v>1099</v>
      </c>
      <c r="H330" s="173"/>
    </row>
    <row r="331" spans="2:9" x14ac:dyDescent="0.25">
      <c r="B331" s="133" t="s">
        <v>721</v>
      </c>
      <c r="C331" s="150" t="s">
        <v>694</v>
      </c>
      <c r="D331" s="44"/>
      <c r="E331" s="51" t="s">
        <v>1100</v>
      </c>
      <c r="F331" s="46" t="s">
        <v>924</v>
      </c>
      <c r="G331" s="125" t="s">
        <v>114</v>
      </c>
      <c r="H331" s="253"/>
    </row>
    <row r="332" spans="2:9" x14ac:dyDescent="0.25">
      <c r="B332" s="133" t="s">
        <v>1324</v>
      </c>
      <c r="C332" s="150" t="s">
        <v>1096</v>
      </c>
      <c r="D332" s="44" t="s">
        <v>112</v>
      </c>
      <c r="E332" s="51" t="s">
        <v>690</v>
      </c>
      <c r="F332" s="46"/>
      <c r="G332" s="47" t="s">
        <v>1093</v>
      </c>
      <c r="H332" s="253"/>
    </row>
    <row r="333" spans="2:9" x14ac:dyDescent="0.25">
      <c r="B333" s="133" t="s">
        <v>1325</v>
      </c>
      <c r="C333" s="150" t="s">
        <v>195</v>
      </c>
      <c r="D333" s="44"/>
      <c r="E333" s="51" t="s">
        <v>1326</v>
      </c>
      <c r="F333" s="46"/>
      <c r="G333" s="125" t="s">
        <v>114</v>
      </c>
      <c r="H333" s="253"/>
    </row>
    <row r="334" spans="2:9" x14ac:dyDescent="0.25">
      <c r="B334" s="135"/>
      <c r="C334" s="152"/>
      <c r="D334" s="86"/>
      <c r="E334" s="79"/>
      <c r="F334" s="87"/>
      <c r="G334" s="73"/>
      <c r="H334" s="178"/>
    </row>
    <row r="335" spans="2:9" s="158" customFormat="1" ht="32.25" customHeight="1" x14ac:dyDescent="0.25">
      <c r="B335" s="139" t="s">
        <v>726</v>
      </c>
      <c r="C335" s="154" t="s">
        <v>722</v>
      </c>
      <c r="D335" s="255" t="s">
        <v>1171</v>
      </c>
      <c r="E335" s="256"/>
      <c r="F335" s="257"/>
      <c r="G335" s="85"/>
      <c r="H335" s="177"/>
      <c r="I335" s="14"/>
    </row>
    <row r="336" spans="2:9" ht="26.4" x14ac:dyDescent="0.25">
      <c r="B336" s="133">
        <v>22.1</v>
      </c>
      <c r="C336" s="150" t="s">
        <v>783</v>
      </c>
      <c r="D336" s="44" t="s">
        <v>112</v>
      </c>
      <c r="E336" s="51" t="s">
        <v>1318</v>
      </c>
      <c r="F336" s="46"/>
      <c r="G336" s="52" t="s">
        <v>113</v>
      </c>
      <c r="H336" s="173"/>
    </row>
    <row r="337" spans="2:9" x14ac:dyDescent="0.25">
      <c r="B337" s="21"/>
      <c r="C337" s="150"/>
      <c r="D337" s="44" t="s">
        <v>112</v>
      </c>
      <c r="E337" s="64" t="s">
        <v>725</v>
      </c>
      <c r="F337" s="64"/>
      <c r="G337" s="62"/>
      <c r="H337" s="175"/>
    </row>
    <row r="338" spans="2:9" x14ac:dyDescent="0.25">
      <c r="B338" s="133">
        <v>22.2</v>
      </c>
      <c r="C338" s="150"/>
      <c r="D338" s="44"/>
      <c r="E338" s="63" t="s">
        <v>819</v>
      </c>
      <c r="F338" s="46"/>
      <c r="G338" s="192" t="s">
        <v>1319</v>
      </c>
      <c r="H338" s="173"/>
    </row>
    <row r="339" spans="2:9" x14ac:dyDescent="0.25">
      <c r="B339" s="133">
        <v>22.3</v>
      </c>
      <c r="C339" s="150"/>
      <c r="D339" s="44"/>
      <c r="E339" s="63" t="s">
        <v>820</v>
      </c>
      <c r="F339" s="46" t="s">
        <v>151</v>
      </c>
      <c r="G339" s="52" t="s">
        <v>114</v>
      </c>
      <c r="H339" s="253"/>
    </row>
    <row r="340" spans="2:9" x14ac:dyDescent="0.25">
      <c r="B340" s="133">
        <v>22.4</v>
      </c>
      <c r="C340" s="150"/>
      <c r="D340" s="44"/>
      <c r="E340" s="63" t="s">
        <v>821</v>
      </c>
      <c r="F340" s="46" t="s">
        <v>151</v>
      </c>
      <c r="G340" s="52" t="s">
        <v>114</v>
      </c>
      <c r="H340" s="253"/>
      <c r="I340" s="21"/>
    </row>
    <row r="341" spans="2:9" x14ac:dyDescent="0.25">
      <c r="B341" s="133"/>
      <c r="C341" s="150"/>
      <c r="D341" s="44" t="s">
        <v>112</v>
      </c>
      <c r="E341" s="20" t="s">
        <v>285</v>
      </c>
      <c r="F341" s="54"/>
      <c r="G341" s="62"/>
      <c r="H341" s="177"/>
      <c r="I341" s="21"/>
    </row>
    <row r="342" spans="2:9" x14ac:dyDescent="0.25">
      <c r="B342" s="133">
        <v>22.5</v>
      </c>
      <c r="C342" s="150"/>
      <c r="D342" s="44"/>
      <c r="E342" s="63" t="s">
        <v>822</v>
      </c>
      <c r="F342" s="46" t="s">
        <v>116</v>
      </c>
      <c r="G342" s="52" t="str">
        <f>IF($G$63="N/A","N/A","85 to 110")</f>
        <v>85 to 110</v>
      </c>
      <c r="H342" s="173"/>
      <c r="I342" s="21"/>
    </row>
    <row r="343" spans="2:9" x14ac:dyDescent="0.25">
      <c r="B343" s="133">
        <v>22.6</v>
      </c>
      <c r="C343" s="150"/>
      <c r="D343" s="44"/>
      <c r="E343" s="63" t="s">
        <v>467</v>
      </c>
      <c r="F343" s="46" t="s">
        <v>179</v>
      </c>
      <c r="G343" s="52" t="str">
        <f>IF($G$63="N/A","N/A","≤ 1000")</f>
        <v>≤ 1000</v>
      </c>
      <c r="H343" s="173"/>
      <c r="I343" s="21"/>
    </row>
    <row r="344" spans="2:9" x14ac:dyDescent="0.25">
      <c r="B344" s="133">
        <v>22.7</v>
      </c>
      <c r="C344" s="150"/>
      <c r="D344" s="44"/>
      <c r="E344" s="63" t="s">
        <v>468</v>
      </c>
      <c r="F344" s="46" t="s">
        <v>179</v>
      </c>
      <c r="G344" s="189" t="s">
        <v>465</v>
      </c>
      <c r="H344" s="173"/>
      <c r="I344" s="21"/>
    </row>
    <row r="345" spans="2:9" x14ac:dyDescent="0.25">
      <c r="B345" s="133">
        <v>22.8</v>
      </c>
      <c r="C345" s="150"/>
      <c r="D345" s="44"/>
      <c r="E345" s="63" t="s">
        <v>466</v>
      </c>
      <c r="F345" s="46" t="s">
        <v>203</v>
      </c>
      <c r="G345" s="52" t="str">
        <f>IF($G$63="N/A","N/A","≤ 10")</f>
        <v>≤ 10</v>
      </c>
      <c r="H345" s="173"/>
      <c r="I345" s="21"/>
    </row>
    <row r="346" spans="2:9" ht="26.4" x14ac:dyDescent="0.25">
      <c r="B346" s="133" t="s">
        <v>727</v>
      </c>
      <c r="C346" s="150"/>
      <c r="D346" s="44"/>
      <c r="E346" s="63" t="s">
        <v>835</v>
      </c>
      <c r="F346" s="46"/>
      <c r="G346" s="52" t="str">
        <f>IF($G$63="N/A","N/A","xxxxxxxxxx")</f>
        <v>xxxxxxxxxx</v>
      </c>
      <c r="H346" s="173"/>
      <c r="I346" s="21"/>
    </row>
    <row r="347" spans="2:9" x14ac:dyDescent="0.25">
      <c r="B347" s="133" t="s">
        <v>728</v>
      </c>
      <c r="C347" s="150"/>
      <c r="D347" s="44"/>
      <c r="E347" s="63" t="s">
        <v>286</v>
      </c>
      <c r="F347" s="46"/>
      <c r="G347" s="52" t="str">
        <f>IF($G$63="N/A","N/A","Yes")</f>
        <v>Yes</v>
      </c>
      <c r="H347" s="173"/>
      <c r="I347" s="21"/>
    </row>
    <row r="348" spans="2:9" x14ac:dyDescent="0.25">
      <c r="B348" s="133" t="s">
        <v>729</v>
      </c>
      <c r="C348" s="150"/>
      <c r="D348" s="44"/>
      <c r="E348" s="63" t="s">
        <v>836</v>
      </c>
      <c r="F348" s="46"/>
      <c r="G348" s="52" t="str">
        <f>IF($G$63="N/A","N/A","D-DT-5408")</f>
        <v>D-DT-5408</v>
      </c>
      <c r="H348" s="173"/>
      <c r="I348" s="21"/>
    </row>
    <row r="349" spans="2:9" x14ac:dyDescent="0.25">
      <c r="B349" s="133"/>
      <c r="C349" s="150"/>
      <c r="D349" s="44" t="s">
        <v>112</v>
      </c>
      <c r="E349" s="20" t="s">
        <v>1104</v>
      </c>
      <c r="F349" s="54"/>
      <c r="G349" s="62"/>
      <c r="H349" s="177"/>
      <c r="I349" s="21"/>
    </row>
    <row r="350" spans="2:9" x14ac:dyDescent="0.25">
      <c r="B350" s="133" t="s">
        <v>730</v>
      </c>
      <c r="C350" s="150"/>
      <c r="D350" s="44"/>
      <c r="E350" s="63" t="s">
        <v>822</v>
      </c>
      <c r="F350" s="46" t="s">
        <v>116</v>
      </c>
      <c r="G350" s="52" t="s">
        <v>177</v>
      </c>
      <c r="H350" s="173"/>
      <c r="I350" s="21"/>
    </row>
    <row r="351" spans="2:9" x14ac:dyDescent="0.25">
      <c r="B351" s="133" t="s">
        <v>731</v>
      </c>
      <c r="C351" s="150"/>
      <c r="D351" s="44"/>
      <c r="E351" s="63" t="s">
        <v>467</v>
      </c>
      <c r="F351" s="46" t="s">
        <v>179</v>
      </c>
      <c r="G351" s="52" t="s">
        <v>114</v>
      </c>
      <c r="H351" s="173"/>
      <c r="I351" s="21"/>
    </row>
    <row r="352" spans="2:9" x14ac:dyDescent="0.25">
      <c r="B352" s="133" t="s">
        <v>732</v>
      </c>
      <c r="C352" s="150"/>
      <c r="D352" s="44"/>
      <c r="E352" s="63" t="s">
        <v>468</v>
      </c>
      <c r="F352" s="46" t="s">
        <v>179</v>
      </c>
      <c r="G352" s="189" t="s">
        <v>465</v>
      </c>
      <c r="H352" s="173"/>
      <c r="I352" s="21"/>
    </row>
    <row r="353" spans="2:9" x14ac:dyDescent="0.25">
      <c r="B353" s="133" t="s">
        <v>733</v>
      </c>
      <c r="C353" s="150"/>
      <c r="D353" s="44"/>
      <c r="E353" s="63" t="s">
        <v>1105</v>
      </c>
      <c r="F353" s="46" t="s">
        <v>203</v>
      </c>
      <c r="G353" s="52" t="s">
        <v>114</v>
      </c>
      <c r="H353" s="173"/>
      <c r="I353" s="21"/>
    </row>
    <row r="354" spans="2:9" ht="26.4" x14ac:dyDescent="0.25">
      <c r="B354" s="133" t="s">
        <v>734</v>
      </c>
      <c r="C354" s="150"/>
      <c r="D354" s="44"/>
      <c r="E354" s="63" t="s">
        <v>835</v>
      </c>
      <c r="F354" s="46"/>
      <c r="G354" s="52" t="s">
        <v>114</v>
      </c>
      <c r="H354" s="173"/>
      <c r="I354" s="21"/>
    </row>
    <row r="355" spans="2:9" x14ac:dyDescent="0.25">
      <c r="B355" s="133"/>
      <c r="C355" s="150"/>
      <c r="D355" s="44" t="s">
        <v>112</v>
      </c>
      <c r="E355" s="20" t="s">
        <v>735</v>
      </c>
      <c r="F355" s="54"/>
      <c r="G355" s="62"/>
      <c r="H355" s="177"/>
      <c r="I355" s="21"/>
    </row>
    <row r="356" spans="2:9" x14ac:dyDescent="0.25">
      <c r="B356" s="133" t="s">
        <v>739</v>
      </c>
      <c r="C356" s="150"/>
      <c r="D356" s="44"/>
      <c r="E356" s="63" t="s">
        <v>822</v>
      </c>
      <c r="F356" s="46" t="s">
        <v>116</v>
      </c>
      <c r="G356" s="52" t="str">
        <f>IF($G$63="N/A","N/A","85 to 110")</f>
        <v>85 to 110</v>
      </c>
      <c r="H356" s="173"/>
      <c r="I356" s="21"/>
    </row>
    <row r="357" spans="2:9" x14ac:dyDescent="0.25">
      <c r="B357" s="133" t="s">
        <v>740</v>
      </c>
      <c r="C357" s="150"/>
      <c r="D357" s="44"/>
      <c r="E357" s="63" t="s">
        <v>467</v>
      </c>
      <c r="F357" s="46" t="s">
        <v>179</v>
      </c>
      <c r="G357" s="52" t="str">
        <f>IF($G$63="N/A","N/A","≤ 500")</f>
        <v>≤ 500</v>
      </c>
      <c r="H357" s="173"/>
      <c r="I357" s="21"/>
    </row>
    <row r="358" spans="2:9" x14ac:dyDescent="0.25">
      <c r="B358" s="133" t="s">
        <v>741</v>
      </c>
      <c r="C358" s="150"/>
      <c r="D358" s="44"/>
      <c r="E358" s="63" t="s">
        <v>837</v>
      </c>
      <c r="F358" s="46"/>
      <c r="G358" s="52" t="str">
        <f>IF($G$63="N/A","N/A","1")</f>
        <v>1</v>
      </c>
      <c r="H358" s="173"/>
      <c r="I358" s="21"/>
    </row>
    <row r="359" spans="2:9" x14ac:dyDescent="0.25">
      <c r="B359" s="133" t="s">
        <v>742</v>
      </c>
      <c r="C359" s="150"/>
      <c r="D359" s="44"/>
      <c r="E359" s="63" t="s">
        <v>838</v>
      </c>
      <c r="F359" s="46" t="s">
        <v>118</v>
      </c>
      <c r="G359" s="52" t="str">
        <f>IF($G$63="N/A","N/A","xxxxxxxxxx")</f>
        <v>xxxxxxxxxx</v>
      </c>
      <c r="H359" s="173"/>
      <c r="I359" s="21"/>
    </row>
    <row r="360" spans="2:9" ht="15.6" x14ac:dyDescent="0.25">
      <c r="B360" s="133" t="s">
        <v>743</v>
      </c>
      <c r="C360" s="150"/>
      <c r="D360" s="44"/>
      <c r="E360" s="63" t="s">
        <v>839</v>
      </c>
      <c r="F360" s="160" t="s">
        <v>736</v>
      </c>
      <c r="G360" s="52" t="str">
        <f>IF($G$63="N/A","N/A","xxxxxxxxxx")</f>
        <v>xxxxxxxxxx</v>
      </c>
      <c r="H360" s="173"/>
      <c r="I360" s="21"/>
    </row>
    <row r="361" spans="2:9" x14ac:dyDescent="0.25">
      <c r="B361" s="133"/>
      <c r="C361" s="150"/>
      <c r="D361" s="44" t="s">
        <v>112</v>
      </c>
      <c r="E361" s="20" t="s">
        <v>737</v>
      </c>
      <c r="F361" s="54"/>
      <c r="G361" s="62"/>
      <c r="H361" s="177"/>
      <c r="I361" s="21"/>
    </row>
    <row r="362" spans="2:9" x14ac:dyDescent="0.25">
      <c r="B362" s="133" t="s">
        <v>744</v>
      </c>
      <c r="C362" s="150"/>
      <c r="D362" s="44"/>
      <c r="E362" s="63" t="s">
        <v>822</v>
      </c>
      <c r="F362" s="46" t="s">
        <v>116</v>
      </c>
      <c r="G362" s="52" t="str">
        <f>IF($G$63="N/A","N/A","70 to 110")</f>
        <v>70 to 110</v>
      </c>
      <c r="H362" s="173"/>
      <c r="I362" s="21"/>
    </row>
    <row r="363" spans="2:9" x14ac:dyDescent="0.25">
      <c r="B363" s="133" t="s">
        <v>745</v>
      </c>
      <c r="C363" s="150"/>
      <c r="D363" s="44"/>
      <c r="E363" s="63" t="s">
        <v>467</v>
      </c>
      <c r="F363" s="46" t="s">
        <v>179</v>
      </c>
      <c r="G363" s="52" t="str">
        <f>IF($G$63="N/A","N/A","≤ 500")</f>
        <v>≤ 500</v>
      </c>
      <c r="H363" s="173"/>
      <c r="I363" s="21"/>
    </row>
    <row r="364" spans="2:9" x14ac:dyDescent="0.25">
      <c r="B364" s="133" t="s">
        <v>746</v>
      </c>
      <c r="C364" s="150"/>
      <c r="D364" s="44"/>
      <c r="E364" s="63" t="s">
        <v>840</v>
      </c>
      <c r="F364" s="46"/>
      <c r="G364" s="52" t="str">
        <f>IF($G$63="N/A","N/A","2")</f>
        <v>2</v>
      </c>
      <c r="H364" s="173"/>
      <c r="I364" s="21"/>
    </row>
    <row r="365" spans="2:9" ht="12.75" customHeight="1" x14ac:dyDescent="0.25">
      <c r="B365" s="133" t="s">
        <v>747</v>
      </c>
      <c r="C365" s="150"/>
      <c r="D365" s="44"/>
      <c r="E365" s="63" t="s">
        <v>841</v>
      </c>
      <c r="F365" s="46"/>
      <c r="G365" s="52" t="str">
        <f>IF($G$63="N/A","N/A","Yes")</f>
        <v>Yes</v>
      </c>
      <c r="H365" s="173"/>
      <c r="I365" s="21"/>
    </row>
    <row r="366" spans="2:9" ht="12.75" customHeight="1" x14ac:dyDescent="0.25">
      <c r="B366" s="133" t="s">
        <v>748</v>
      </c>
      <c r="C366" s="150"/>
      <c r="D366" s="44"/>
      <c r="E366" s="63" t="s">
        <v>842</v>
      </c>
      <c r="F366" s="46"/>
      <c r="G366" s="52" t="str">
        <f>IF($G$63="N/A","N/A","Yes")</f>
        <v>Yes</v>
      </c>
      <c r="H366" s="173"/>
      <c r="I366" s="21"/>
    </row>
    <row r="367" spans="2:9" ht="12.75" customHeight="1" x14ac:dyDescent="0.25">
      <c r="B367" s="133" t="s">
        <v>749</v>
      </c>
      <c r="C367" s="150"/>
      <c r="D367" s="44"/>
      <c r="E367" s="63" t="s">
        <v>843</v>
      </c>
      <c r="F367" s="46"/>
      <c r="G367" s="52" t="str">
        <f>IF($G$63="N/A","N/A","Yes")</f>
        <v>Yes</v>
      </c>
      <c r="H367" s="173"/>
      <c r="I367" s="21"/>
    </row>
    <row r="368" spans="2:9" x14ac:dyDescent="0.25">
      <c r="B368" s="133" t="s">
        <v>750</v>
      </c>
      <c r="C368" s="150"/>
      <c r="D368" s="44"/>
      <c r="E368" s="63" t="s">
        <v>844</v>
      </c>
      <c r="F368" s="46" t="s">
        <v>118</v>
      </c>
      <c r="G368" s="52" t="str">
        <f>IF($G$63="N/A","N/A","xxxxxxxxxx")</f>
        <v>xxxxxxxxxx</v>
      </c>
      <c r="H368" s="173"/>
      <c r="I368" s="21"/>
    </row>
    <row r="369" spans="2:9" ht="15.6" x14ac:dyDescent="0.25">
      <c r="B369" s="133" t="s">
        <v>751</v>
      </c>
      <c r="C369" s="150"/>
      <c r="D369" s="44"/>
      <c r="E369" s="63" t="s">
        <v>845</v>
      </c>
      <c r="F369" s="160" t="s">
        <v>736</v>
      </c>
      <c r="G369" s="52" t="str">
        <f>IF($G$63="N/A","N/A","xxxxxxxxxx")</f>
        <v>xxxxxxxxxx</v>
      </c>
      <c r="H369" s="253"/>
      <c r="I369" s="21"/>
    </row>
    <row r="370" spans="2:9" x14ac:dyDescent="0.25">
      <c r="B370" s="133" t="s">
        <v>752</v>
      </c>
      <c r="C370" s="150"/>
      <c r="D370" s="44" t="s">
        <v>112</v>
      </c>
      <c r="E370" s="51" t="s">
        <v>738</v>
      </c>
      <c r="F370" s="46"/>
      <c r="G370" s="52" t="str">
        <f>IF($G$63="N/A","N/A","Yes")</f>
        <v>Yes</v>
      </c>
      <c r="H370" s="173"/>
      <c r="I370" s="21"/>
    </row>
    <row r="371" spans="2:9" ht="26.4" x14ac:dyDescent="0.25">
      <c r="B371" s="133" t="s">
        <v>754</v>
      </c>
      <c r="C371" s="150"/>
      <c r="D371" s="44" t="s">
        <v>112</v>
      </c>
      <c r="E371" s="51" t="s">
        <v>1322</v>
      </c>
      <c r="F371" s="46"/>
      <c r="G371" s="52" t="str">
        <f>IF($G$63="N/A","N/A","Yes")</f>
        <v>Yes</v>
      </c>
      <c r="H371" s="173"/>
      <c r="I371" s="21"/>
    </row>
    <row r="372" spans="2:9" ht="26.4" x14ac:dyDescent="0.25">
      <c r="B372" s="133" t="s">
        <v>755</v>
      </c>
      <c r="C372" s="150"/>
      <c r="D372" s="44" t="s">
        <v>112</v>
      </c>
      <c r="E372" s="51" t="s">
        <v>1323</v>
      </c>
      <c r="F372" s="46"/>
      <c r="G372" s="52" t="str">
        <f>IF($G$63="N/A","N/A","Yes")</f>
        <v>Yes</v>
      </c>
      <c r="H372" s="173"/>
      <c r="I372" s="21"/>
    </row>
    <row r="373" spans="2:9" x14ac:dyDescent="0.25">
      <c r="B373" s="138"/>
      <c r="C373" s="150"/>
      <c r="D373" s="44" t="s">
        <v>112</v>
      </c>
      <c r="E373" s="64" t="s">
        <v>846</v>
      </c>
      <c r="F373" s="64"/>
      <c r="G373" s="62"/>
      <c r="H373" s="175"/>
      <c r="I373" s="21"/>
    </row>
    <row r="374" spans="2:9" x14ac:dyDescent="0.25">
      <c r="B374" s="133"/>
      <c r="C374" s="150"/>
      <c r="D374" s="44"/>
      <c r="E374" s="183" t="s">
        <v>847</v>
      </c>
      <c r="F374" s="54"/>
      <c r="G374" s="62"/>
      <c r="H374" s="177"/>
      <c r="I374" s="21"/>
    </row>
    <row r="375" spans="2:9" x14ac:dyDescent="0.25">
      <c r="B375" s="133" t="s">
        <v>756</v>
      </c>
      <c r="C375" s="150"/>
      <c r="D375" s="44"/>
      <c r="E375" s="51" t="s">
        <v>753</v>
      </c>
      <c r="F375" s="46" t="s">
        <v>118</v>
      </c>
      <c r="G375" s="52">
        <v>10</v>
      </c>
      <c r="H375" s="173"/>
      <c r="I375" s="21"/>
    </row>
    <row r="376" spans="2:9" ht="105.6" x14ac:dyDescent="0.25">
      <c r="B376" s="133" t="s">
        <v>757</v>
      </c>
      <c r="C376" s="150"/>
      <c r="D376" s="44"/>
      <c r="E376" s="51" t="s">
        <v>170</v>
      </c>
      <c r="F376" s="46"/>
      <c r="G376" s="47" t="s">
        <v>1106</v>
      </c>
      <c r="H376" s="173"/>
      <c r="I376" s="21"/>
    </row>
    <row r="377" spans="2:9" x14ac:dyDescent="0.25">
      <c r="B377" s="42"/>
      <c r="C377" s="43"/>
      <c r="D377" s="44"/>
      <c r="E377" s="64" t="s">
        <v>1107</v>
      </c>
      <c r="F377" s="65"/>
      <c r="G377" s="66"/>
      <c r="H377" s="179"/>
      <c r="I377" s="21"/>
    </row>
    <row r="378" spans="2:9" x14ac:dyDescent="0.25">
      <c r="B378" s="133" t="s">
        <v>758</v>
      </c>
      <c r="C378" s="43"/>
      <c r="D378" s="44"/>
      <c r="E378" s="51" t="s">
        <v>171</v>
      </c>
      <c r="F378" s="46"/>
      <c r="G378" s="52">
        <v>0</v>
      </c>
      <c r="H378" s="173"/>
      <c r="I378" s="21"/>
    </row>
    <row r="379" spans="2:9" x14ac:dyDescent="0.25">
      <c r="B379" s="133" t="s">
        <v>759</v>
      </c>
      <c r="C379" s="43"/>
      <c r="D379" s="44"/>
      <c r="E379" s="51" t="s">
        <v>172</v>
      </c>
      <c r="F379" s="46"/>
      <c r="G379" s="52">
        <v>2</v>
      </c>
      <c r="H379" s="173"/>
      <c r="I379" s="21"/>
    </row>
    <row r="380" spans="2:9" x14ac:dyDescent="0.25">
      <c r="B380" s="133"/>
      <c r="C380" s="43"/>
      <c r="D380" s="44"/>
      <c r="E380" s="64" t="s">
        <v>1108</v>
      </c>
      <c r="F380" s="65"/>
      <c r="G380" s="66"/>
      <c r="H380" s="177"/>
      <c r="I380" s="21"/>
    </row>
    <row r="381" spans="2:9" x14ac:dyDescent="0.25">
      <c r="B381" s="133" t="s">
        <v>760</v>
      </c>
      <c r="C381" s="43"/>
      <c r="D381" s="44"/>
      <c r="E381" s="51" t="s">
        <v>171</v>
      </c>
      <c r="F381" s="46"/>
      <c r="G381" s="52">
        <v>0</v>
      </c>
      <c r="H381" s="173"/>
      <c r="I381" s="21"/>
    </row>
    <row r="382" spans="2:9" x14ac:dyDescent="0.25">
      <c r="B382" s="133" t="s">
        <v>761</v>
      </c>
      <c r="C382" s="43"/>
      <c r="D382" s="44"/>
      <c r="E382" s="51" t="s">
        <v>172</v>
      </c>
      <c r="F382" s="46"/>
      <c r="G382" s="52">
        <v>2</v>
      </c>
      <c r="H382" s="173"/>
      <c r="I382" s="21"/>
    </row>
    <row r="383" spans="2:9" x14ac:dyDescent="0.25">
      <c r="B383" s="133"/>
      <c r="C383" s="150"/>
      <c r="D383" s="44"/>
      <c r="E383" s="64" t="s">
        <v>28</v>
      </c>
      <c r="F383" s="65"/>
      <c r="G383" s="66"/>
      <c r="H383" s="177"/>
      <c r="I383" s="21"/>
    </row>
    <row r="384" spans="2:9" x14ac:dyDescent="0.25">
      <c r="B384" s="133" t="s">
        <v>762</v>
      </c>
      <c r="C384" s="150"/>
      <c r="D384" s="44"/>
      <c r="E384" s="51" t="s">
        <v>171</v>
      </c>
      <c r="F384" s="46"/>
      <c r="G384" s="52" t="str">
        <f>IF($G$63="N/A","N/A","4")</f>
        <v>4</v>
      </c>
      <c r="H384" s="173"/>
      <c r="I384" s="21"/>
    </row>
    <row r="385" spans="2:9" x14ac:dyDescent="0.25">
      <c r="B385" s="133" t="s">
        <v>763</v>
      </c>
      <c r="C385" s="150"/>
      <c r="D385" s="44"/>
      <c r="E385" s="51" t="s">
        <v>172</v>
      </c>
      <c r="F385" s="46"/>
      <c r="G385" s="52" t="str">
        <f>IF($G$63="N/A","N/A","4")</f>
        <v>4</v>
      </c>
      <c r="H385" s="173"/>
      <c r="I385" s="21"/>
    </row>
    <row r="386" spans="2:9" x14ac:dyDescent="0.25">
      <c r="B386" s="133"/>
      <c r="C386" s="150"/>
      <c r="D386" s="44"/>
      <c r="E386" s="20" t="s">
        <v>29</v>
      </c>
      <c r="F386" s="54"/>
      <c r="G386" s="62"/>
      <c r="H386" s="177"/>
      <c r="I386" s="21"/>
    </row>
    <row r="387" spans="2:9" x14ac:dyDescent="0.25">
      <c r="B387" s="133" t="s">
        <v>764</v>
      </c>
      <c r="C387" s="150"/>
      <c r="D387" s="44"/>
      <c r="E387" s="51" t="s">
        <v>171</v>
      </c>
      <c r="F387" s="46"/>
      <c r="G387" s="52" t="str">
        <f>IF($G$63="N/A","N/A","2")</f>
        <v>2</v>
      </c>
      <c r="H387" s="173"/>
      <c r="I387" s="21"/>
    </row>
    <row r="388" spans="2:9" x14ac:dyDescent="0.25">
      <c r="B388" s="133" t="s">
        <v>765</v>
      </c>
      <c r="C388" s="150"/>
      <c r="D388" s="44"/>
      <c r="E388" s="51" t="s">
        <v>172</v>
      </c>
      <c r="F388" s="46"/>
      <c r="G388" s="52" t="str">
        <f>IF($G$63="N/A","N/A","2")</f>
        <v>2</v>
      </c>
      <c r="H388" s="173"/>
      <c r="I388" s="21"/>
    </row>
    <row r="389" spans="2:9" x14ac:dyDescent="0.25">
      <c r="B389" s="133"/>
      <c r="C389" s="150"/>
      <c r="D389" s="44"/>
      <c r="E389" s="20" t="s">
        <v>859</v>
      </c>
      <c r="F389" s="54"/>
      <c r="G389" s="62"/>
      <c r="H389" s="177"/>
      <c r="I389" s="21"/>
    </row>
    <row r="390" spans="2:9" x14ac:dyDescent="0.25">
      <c r="B390" s="133" t="s">
        <v>766</v>
      </c>
      <c r="C390" s="150"/>
      <c r="D390" s="44"/>
      <c r="E390" s="51" t="s">
        <v>171</v>
      </c>
      <c r="F390" s="46"/>
      <c r="G390" s="52" t="str">
        <f>IF($G$228="N/A","N/A","1")</f>
        <v>1</v>
      </c>
      <c r="H390" s="253"/>
      <c r="I390" s="21"/>
    </row>
    <row r="391" spans="2:9" x14ac:dyDescent="0.25">
      <c r="B391" s="133" t="s">
        <v>767</v>
      </c>
      <c r="C391" s="150"/>
      <c r="D391" s="44"/>
      <c r="E391" s="51" t="s">
        <v>172</v>
      </c>
      <c r="F391" s="46"/>
      <c r="G391" s="52" t="str">
        <f>IF($G$228="N/A","N/A","1")</f>
        <v>1</v>
      </c>
      <c r="H391" s="253"/>
      <c r="I391" s="21"/>
    </row>
    <row r="392" spans="2:9" x14ac:dyDescent="0.25">
      <c r="B392" s="138"/>
      <c r="C392" s="150"/>
      <c r="D392" s="44"/>
      <c r="E392" s="20" t="s">
        <v>858</v>
      </c>
      <c r="F392" s="54"/>
      <c r="G392" s="62"/>
      <c r="H392" s="177"/>
      <c r="I392" s="21"/>
    </row>
    <row r="393" spans="2:9" x14ac:dyDescent="0.25">
      <c r="B393" s="133" t="s">
        <v>770</v>
      </c>
      <c r="C393" s="150"/>
      <c r="D393" s="44"/>
      <c r="E393" s="51" t="s">
        <v>171</v>
      </c>
      <c r="F393" s="46"/>
      <c r="G393" s="52" t="str">
        <f>IF($G$14="Incomer","1","N/A")</f>
        <v>N/A</v>
      </c>
      <c r="H393" s="173"/>
      <c r="I393" s="21"/>
    </row>
    <row r="394" spans="2:9" x14ac:dyDescent="0.25">
      <c r="B394" s="133" t="s">
        <v>771</v>
      </c>
      <c r="C394" s="150"/>
      <c r="D394" s="44"/>
      <c r="E394" s="51" t="s">
        <v>172</v>
      </c>
      <c r="F394" s="46"/>
      <c r="G394" s="52" t="str">
        <f>IF($G$14="Incomer","1","N/A")</f>
        <v>N/A</v>
      </c>
      <c r="H394" s="173"/>
      <c r="I394" s="21"/>
    </row>
    <row r="395" spans="2:9" x14ac:dyDescent="0.25">
      <c r="B395" s="21"/>
      <c r="C395" s="150"/>
      <c r="D395" s="44"/>
      <c r="E395" s="20" t="s">
        <v>1109</v>
      </c>
      <c r="F395" s="54"/>
      <c r="G395" s="62"/>
      <c r="H395" s="177"/>
      <c r="I395" s="21"/>
    </row>
    <row r="396" spans="2:9" x14ac:dyDescent="0.25">
      <c r="B396" s="133" t="s">
        <v>772</v>
      </c>
      <c r="C396" s="150"/>
      <c r="D396" s="44"/>
      <c r="E396" s="51" t="s">
        <v>171</v>
      </c>
      <c r="F396" s="46"/>
      <c r="G396" s="52" t="str">
        <f>IF($G$63="N/A","N/A","1")</f>
        <v>1</v>
      </c>
      <c r="H396" s="173"/>
      <c r="I396" s="21"/>
    </row>
    <row r="397" spans="2:9" x14ac:dyDescent="0.25">
      <c r="B397" s="21"/>
      <c r="C397" s="150"/>
      <c r="D397" s="44"/>
      <c r="E397" s="20" t="s">
        <v>1110</v>
      </c>
      <c r="F397" s="54"/>
      <c r="G397" s="62"/>
      <c r="H397" s="177"/>
      <c r="I397" s="21"/>
    </row>
    <row r="398" spans="2:9" x14ac:dyDescent="0.25">
      <c r="B398" s="133" t="s">
        <v>773</v>
      </c>
      <c r="C398" s="150"/>
      <c r="D398" s="44"/>
      <c r="E398" s="51" t="s">
        <v>172</v>
      </c>
      <c r="F398" s="46"/>
      <c r="G398" s="52" t="str">
        <f>IF($G$63="N/A","N/A","2")</f>
        <v>2</v>
      </c>
      <c r="H398" s="173"/>
      <c r="I398" s="21"/>
    </row>
    <row r="399" spans="2:9" x14ac:dyDescent="0.25">
      <c r="B399" s="133"/>
      <c r="C399" s="150"/>
      <c r="D399" s="44" t="s">
        <v>112</v>
      </c>
      <c r="E399" s="260" t="s">
        <v>803</v>
      </c>
      <c r="F399" s="261"/>
      <c r="G399" s="62"/>
      <c r="H399" s="175"/>
      <c r="I399" s="21"/>
    </row>
    <row r="400" spans="2:9" x14ac:dyDescent="0.25">
      <c r="B400" s="133" t="s">
        <v>774</v>
      </c>
      <c r="C400" s="150"/>
      <c r="D400" s="44"/>
      <c r="E400" s="63" t="s">
        <v>804</v>
      </c>
      <c r="F400" s="46"/>
      <c r="G400" s="47" t="s">
        <v>768</v>
      </c>
      <c r="H400" s="173"/>
      <c r="I400" s="21"/>
    </row>
    <row r="401" spans="2:9" ht="26.4" x14ac:dyDescent="0.25">
      <c r="B401" s="133" t="s">
        <v>33</v>
      </c>
      <c r="C401" s="150"/>
      <c r="D401" s="44"/>
      <c r="E401" s="63" t="s">
        <v>805</v>
      </c>
      <c r="F401" s="46"/>
      <c r="G401" s="47" t="s">
        <v>113</v>
      </c>
      <c r="H401" s="173"/>
      <c r="I401" s="21"/>
    </row>
    <row r="402" spans="2:9" x14ac:dyDescent="0.25">
      <c r="B402" s="133" t="s">
        <v>38</v>
      </c>
      <c r="C402" s="150"/>
      <c r="D402" s="44"/>
      <c r="E402" s="63" t="s">
        <v>806</v>
      </c>
      <c r="F402" s="46" t="s">
        <v>120</v>
      </c>
      <c r="G402" s="47" t="s">
        <v>549</v>
      </c>
      <c r="H402" s="173"/>
      <c r="I402" s="21"/>
    </row>
    <row r="403" spans="2:9" x14ac:dyDescent="0.25">
      <c r="B403" s="133" t="s">
        <v>39</v>
      </c>
      <c r="C403" s="150"/>
      <c r="D403" s="44"/>
      <c r="E403" s="63" t="s">
        <v>807</v>
      </c>
      <c r="F403" s="46"/>
      <c r="G403" s="47" t="s">
        <v>114</v>
      </c>
      <c r="H403" s="173"/>
      <c r="I403" s="21"/>
    </row>
    <row r="404" spans="2:9" x14ac:dyDescent="0.25">
      <c r="B404" s="133" t="s">
        <v>40</v>
      </c>
      <c r="C404" s="150"/>
      <c r="D404" s="44" t="s">
        <v>112</v>
      </c>
      <c r="E404" s="51" t="s">
        <v>769</v>
      </c>
      <c r="F404" s="46"/>
      <c r="G404" s="52" t="s">
        <v>154</v>
      </c>
      <c r="H404" s="173"/>
      <c r="I404" s="21"/>
    </row>
    <row r="405" spans="2:9" ht="26.4" x14ac:dyDescent="0.25">
      <c r="B405" s="133" t="s">
        <v>45</v>
      </c>
      <c r="C405" s="150"/>
      <c r="D405" s="44" t="s">
        <v>112</v>
      </c>
      <c r="E405" s="51" t="s">
        <v>155</v>
      </c>
      <c r="F405" s="46"/>
      <c r="G405" s="192" t="s">
        <v>1327</v>
      </c>
      <c r="H405" s="173"/>
      <c r="I405" s="21"/>
    </row>
    <row r="406" spans="2:9" x14ac:dyDescent="0.25">
      <c r="B406" s="133" t="s">
        <v>46</v>
      </c>
      <c r="C406" s="150"/>
      <c r="D406" s="44" t="s">
        <v>112</v>
      </c>
      <c r="E406" s="51" t="s">
        <v>30</v>
      </c>
      <c r="F406" s="46"/>
      <c r="G406" s="52" t="s">
        <v>113</v>
      </c>
      <c r="H406" s="173"/>
      <c r="I406" s="21"/>
    </row>
    <row r="407" spans="2:9" x14ac:dyDescent="0.25">
      <c r="B407" s="133" t="s">
        <v>47</v>
      </c>
      <c r="C407" s="150"/>
      <c r="D407" s="44" t="s">
        <v>112</v>
      </c>
      <c r="E407" s="63" t="s">
        <v>31</v>
      </c>
      <c r="F407" s="46" t="s">
        <v>120</v>
      </c>
      <c r="G407" s="52" t="s">
        <v>32</v>
      </c>
      <c r="H407" s="209"/>
      <c r="I407" s="21"/>
    </row>
    <row r="408" spans="2:9" x14ac:dyDescent="0.25">
      <c r="B408" s="133" t="s">
        <v>48</v>
      </c>
      <c r="C408" s="150"/>
      <c r="D408" s="44" t="s">
        <v>112</v>
      </c>
      <c r="E408" s="51" t="s">
        <v>34</v>
      </c>
      <c r="F408" s="46" t="s">
        <v>120</v>
      </c>
      <c r="G408" s="52" t="s">
        <v>35</v>
      </c>
      <c r="H408" s="173"/>
      <c r="I408" s="21"/>
    </row>
    <row r="409" spans="2:9" x14ac:dyDescent="0.25">
      <c r="B409" s="21"/>
      <c r="C409" s="150"/>
      <c r="D409" s="44" t="s">
        <v>112</v>
      </c>
      <c r="E409" s="20" t="s">
        <v>36</v>
      </c>
      <c r="F409" s="54"/>
      <c r="G409" s="62"/>
      <c r="H409" s="177"/>
      <c r="I409" s="21"/>
    </row>
    <row r="410" spans="2:9" ht="15.6" x14ac:dyDescent="0.25">
      <c r="B410" s="133" t="s">
        <v>49</v>
      </c>
      <c r="C410" s="150"/>
      <c r="D410" s="44"/>
      <c r="E410" s="63" t="s">
        <v>1111</v>
      </c>
      <c r="F410" s="46" t="s">
        <v>148</v>
      </c>
      <c r="G410" s="52" t="s">
        <v>153</v>
      </c>
      <c r="H410" s="209"/>
      <c r="I410" s="21"/>
    </row>
    <row r="411" spans="2:9" ht="15.6" x14ac:dyDescent="0.25">
      <c r="B411" s="133" t="s">
        <v>59</v>
      </c>
      <c r="C411" s="150"/>
      <c r="D411" s="44"/>
      <c r="E411" s="63" t="s">
        <v>808</v>
      </c>
      <c r="F411" s="46" t="s">
        <v>148</v>
      </c>
      <c r="G411" s="52" t="s">
        <v>152</v>
      </c>
      <c r="H411" s="211"/>
      <c r="I411" s="21"/>
    </row>
    <row r="412" spans="2:9" x14ac:dyDescent="0.25">
      <c r="B412" s="133" t="s">
        <v>60</v>
      </c>
      <c r="C412" s="150"/>
      <c r="D412" s="44"/>
      <c r="E412" s="63" t="s">
        <v>809</v>
      </c>
      <c r="F412" s="46"/>
      <c r="G412" s="52">
        <v>7</v>
      </c>
      <c r="H412" s="173"/>
      <c r="I412" s="21"/>
    </row>
    <row r="413" spans="2:9" x14ac:dyDescent="0.25">
      <c r="B413" s="21"/>
      <c r="C413" s="150"/>
      <c r="D413" s="44" t="s">
        <v>112</v>
      </c>
      <c r="E413" s="64" t="s">
        <v>37</v>
      </c>
      <c r="F413" s="65"/>
      <c r="G413" s="66"/>
      <c r="H413" s="177"/>
      <c r="I413" s="21"/>
    </row>
    <row r="414" spans="2:9" x14ac:dyDescent="0.25">
      <c r="B414" s="133" t="s">
        <v>61</v>
      </c>
      <c r="C414" s="150"/>
      <c r="D414" s="44"/>
      <c r="E414" s="63" t="s">
        <v>1112</v>
      </c>
      <c r="F414" s="46"/>
      <c r="G414" s="52" t="s">
        <v>41</v>
      </c>
      <c r="H414" s="173"/>
      <c r="I414" s="21"/>
    </row>
    <row r="415" spans="2:9" x14ac:dyDescent="0.25">
      <c r="B415" s="133" t="s">
        <v>62</v>
      </c>
      <c r="C415" s="150"/>
      <c r="D415" s="44"/>
      <c r="E415" s="63" t="s">
        <v>810</v>
      </c>
      <c r="F415" s="46"/>
      <c r="G415" s="192" t="s">
        <v>1320</v>
      </c>
      <c r="H415" s="173"/>
      <c r="I415" s="21"/>
    </row>
    <row r="416" spans="2:9" x14ac:dyDescent="0.25">
      <c r="B416" s="133" t="s">
        <v>63</v>
      </c>
      <c r="C416" s="150"/>
      <c r="D416" s="44"/>
      <c r="E416" s="63" t="s">
        <v>811</v>
      </c>
      <c r="F416" s="46"/>
      <c r="G416" s="52" t="s">
        <v>42</v>
      </c>
      <c r="H416" s="173"/>
      <c r="I416" s="21"/>
    </row>
    <row r="417" spans="2:9" x14ac:dyDescent="0.25">
      <c r="B417" s="133" t="s">
        <v>64</v>
      </c>
      <c r="C417" s="150"/>
      <c r="D417" s="44" t="s">
        <v>112</v>
      </c>
      <c r="E417" s="51" t="s">
        <v>44</v>
      </c>
      <c r="F417" s="46"/>
      <c r="G417" s="52" t="s">
        <v>43</v>
      </c>
      <c r="H417" s="173"/>
      <c r="I417" s="21"/>
    </row>
    <row r="418" spans="2:9" ht="26.4" x14ac:dyDescent="0.25">
      <c r="B418" s="133" t="s">
        <v>65</v>
      </c>
      <c r="C418" s="150"/>
      <c r="D418" s="44" t="s">
        <v>112</v>
      </c>
      <c r="E418" s="51" t="s">
        <v>1172</v>
      </c>
      <c r="F418" s="46"/>
      <c r="G418" s="52" t="s">
        <v>113</v>
      </c>
      <c r="H418" s="173"/>
      <c r="I418" s="21"/>
    </row>
    <row r="419" spans="2:9" x14ac:dyDescent="0.25">
      <c r="B419" s="21"/>
      <c r="C419" s="150"/>
      <c r="D419" s="44" t="s">
        <v>112</v>
      </c>
      <c r="E419" s="260" t="s">
        <v>812</v>
      </c>
      <c r="F419" s="261"/>
      <c r="G419" s="62"/>
      <c r="H419" s="175"/>
      <c r="I419" s="21"/>
    </row>
    <row r="420" spans="2:9" x14ac:dyDescent="0.25">
      <c r="B420" s="133" t="s">
        <v>66</v>
      </c>
      <c r="C420" s="150"/>
      <c r="D420" s="44"/>
      <c r="E420" s="63" t="s">
        <v>216</v>
      </c>
      <c r="F420" s="46"/>
      <c r="G420" s="52" t="s">
        <v>113</v>
      </c>
      <c r="H420" s="173"/>
      <c r="I420" s="21"/>
    </row>
    <row r="421" spans="2:9" x14ac:dyDescent="0.25">
      <c r="B421" s="133" t="s">
        <v>67</v>
      </c>
      <c r="C421" s="150"/>
      <c r="D421" s="44"/>
      <c r="E421" s="63" t="s">
        <v>813</v>
      </c>
      <c r="F421" s="46"/>
      <c r="G421" s="52" t="s">
        <v>114</v>
      </c>
      <c r="H421" s="173"/>
      <c r="I421" s="21"/>
    </row>
    <row r="422" spans="2:9" ht="15.6" x14ac:dyDescent="0.25">
      <c r="B422" s="133" t="s">
        <v>68</v>
      </c>
      <c r="C422" s="150"/>
      <c r="D422" s="44"/>
      <c r="E422" s="63" t="s">
        <v>814</v>
      </c>
      <c r="F422" s="46" t="s">
        <v>206</v>
      </c>
      <c r="G422" s="52" t="s">
        <v>114</v>
      </c>
      <c r="H422" s="173"/>
      <c r="I422" s="21"/>
    </row>
    <row r="423" spans="2:9" ht="15.6" x14ac:dyDescent="0.25">
      <c r="B423" s="133" t="s">
        <v>69</v>
      </c>
      <c r="C423" s="150"/>
      <c r="D423" s="44"/>
      <c r="E423" s="63" t="s">
        <v>815</v>
      </c>
      <c r="F423" s="46" t="s">
        <v>206</v>
      </c>
      <c r="G423" s="52" t="s">
        <v>114</v>
      </c>
      <c r="H423" s="173"/>
      <c r="I423" s="21"/>
    </row>
    <row r="424" spans="2:9" x14ac:dyDescent="0.25">
      <c r="B424" s="133" t="s">
        <v>70</v>
      </c>
      <c r="C424" s="150"/>
      <c r="D424" s="44"/>
      <c r="E424" s="63" t="s">
        <v>217</v>
      </c>
      <c r="F424" s="46"/>
      <c r="G424" s="58" t="s">
        <v>51</v>
      </c>
      <c r="H424" s="211"/>
      <c r="I424" s="21"/>
    </row>
    <row r="425" spans="2:9" x14ac:dyDescent="0.25">
      <c r="B425" s="133" t="s">
        <v>71</v>
      </c>
      <c r="C425" s="150"/>
      <c r="D425" s="44"/>
      <c r="E425" s="63" t="s">
        <v>816</v>
      </c>
      <c r="F425" s="46" t="s">
        <v>207</v>
      </c>
      <c r="G425" s="52" t="s">
        <v>114</v>
      </c>
      <c r="H425" s="173"/>
      <c r="I425" s="21"/>
    </row>
    <row r="426" spans="2:9" x14ac:dyDescent="0.25">
      <c r="B426" s="133" t="s">
        <v>775</v>
      </c>
      <c r="C426" s="150"/>
      <c r="D426" s="44"/>
      <c r="E426" s="63" t="s">
        <v>817</v>
      </c>
      <c r="F426" s="46" t="s">
        <v>207</v>
      </c>
      <c r="G426" s="47" t="s">
        <v>550</v>
      </c>
      <c r="H426" s="173"/>
      <c r="I426" s="21"/>
    </row>
    <row r="427" spans="2:9" x14ac:dyDescent="0.25">
      <c r="B427" s="133" t="s">
        <v>776</v>
      </c>
      <c r="C427" s="150"/>
      <c r="D427" s="44"/>
      <c r="E427" s="63" t="s">
        <v>218</v>
      </c>
      <c r="F427" s="46"/>
      <c r="G427" s="47" t="s">
        <v>52</v>
      </c>
      <c r="H427" s="173"/>
      <c r="I427" s="21"/>
    </row>
    <row r="428" spans="2:9" x14ac:dyDescent="0.25">
      <c r="B428" s="133" t="s">
        <v>777</v>
      </c>
      <c r="C428" s="150"/>
      <c r="D428" s="44"/>
      <c r="E428" s="63" t="s">
        <v>219</v>
      </c>
      <c r="F428" s="46"/>
      <c r="G428" s="47" t="s">
        <v>113</v>
      </c>
      <c r="H428" s="173"/>
      <c r="I428" s="21"/>
    </row>
    <row r="429" spans="2:9" x14ac:dyDescent="0.25">
      <c r="B429" s="133" t="s">
        <v>778</v>
      </c>
      <c r="C429" s="150"/>
      <c r="D429" s="44"/>
      <c r="E429" s="63" t="s">
        <v>220</v>
      </c>
      <c r="F429" s="46"/>
      <c r="G429" s="161" t="s">
        <v>1321</v>
      </c>
      <c r="H429" s="211"/>
      <c r="I429" s="21"/>
    </row>
    <row r="430" spans="2:9" x14ac:dyDescent="0.25">
      <c r="B430" s="133" t="s">
        <v>779</v>
      </c>
      <c r="C430" s="150"/>
      <c r="D430" s="44"/>
      <c r="E430" s="63" t="s">
        <v>818</v>
      </c>
      <c r="F430" s="46"/>
      <c r="G430" s="52" t="s">
        <v>50</v>
      </c>
      <c r="H430" s="173"/>
      <c r="I430" s="21"/>
    </row>
    <row r="431" spans="2:9" x14ac:dyDescent="0.25">
      <c r="B431" s="135"/>
      <c r="C431" s="152"/>
      <c r="D431" s="86"/>
      <c r="E431" s="79"/>
      <c r="F431" s="87"/>
      <c r="G431" s="73"/>
      <c r="H431" s="178"/>
    </row>
    <row r="432" spans="2:9" s="158" customFormat="1" ht="32.25" customHeight="1" x14ac:dyDescent="0.25">
      <c r="B432" s="139" t="s">
        <v>780</v>
      </c>
      <c r="C432" s="154" t="s">
        <v>781</v>
      </c>
      <c r="D432" s="255" t="s">
        <v>1103</v>
      </c>
      <c r="E432" s="256"/>
      <c r="F432" s="257"/>
      <c r="G432" s="85"/>
      <c r="H432" s="177"/>
      <c r="I432" s="14"/>
    </row>
    <row r="433" spans="2:9" x14ac:dyDescent="0.25">
      <c r="B433" s="133" t="s">
        <v>782</v>
      </c>
      <c r="C433" s="150" t="s">
        <v>784</v>
      </c>
      <c r="D433" s="44" t="s">
        <v>112</v>
      </c>
      <c r="E433" s="51" t="s">
        <v>1102</v>
      </c>
      <c r="F433" s="46"/>
      <c r="G433" s="47" t="s">
        <v>147</v>
      </c>
      <c r="H433" s="173"/>
    </row>
    <row r="434" spans="2:9" x14ac:dyDescent="0.25">
      <c r="B434" s="135"/>
      <c r="C434" s="152"/>
      <c r="D434" s="86"/>
      <c r="E434" s="79"/>
      <c r="F434" s="87"/>
      <c r="G434" s="73"/>
      <c r="H434" s="178"/>
    </row>
    <row r="435" spans="2:9" s="158" customFormat="1" ht="15.75" customHeight="1" x14ac:dyDescent="0.25">
      <c r="B435" s="139" t="s">
        <v>785</v>
      </c>
      <c r="C435" s="154" t="s">
        <v>786</v>
      </c>
      <c r="D435" s="255" t="s">
        <v>787</v>
      </c>
      <c r="E435" s="256"/>
      <c r="F435" s="257"/>
      <c r="G435" s="85"/>
      <c r="H435" s="177"/>
      <c r="I435" s="14"/>
    </row>
    <row r="436" spans="2:9" x14ac:dyDescent="0.25">
      <c r="B436" s="21"/>
      <c r="C436" s="21"/>
      <c r="D436" s="44" t="s">
        <v>112</v>
      </c>
      <c r="E436" s="258" t="s">
        <v>788</v>
      </c>
      <c r="F436" s="259"/>
      <c r="G436" s="62"/>
      <c r="H436" s="175"/>
    </row>
    <row r="437" spans="2:9" x14ac:dyDescent="0.25">
      <c r="B437" s="133" t="s">
        <v>790</v>
      </c>
      <c r="C437" s="150" t="s">
        <v>789</v>
      </c>
      <c r="D437" s="44"/>
      <c r="E437" s="63" t="s">
        <v>1114</v>
      </c>
      <c r="F437" s="46"/>
      <c r="G437" s="52" t="s">
        <v>113</v>
      </c>
      <c r="H437" s="173"/>
    </row>
    <row r="438" spans="2:9" x14ac:dyDescent="0.25">
      <c r="B438" s="133" t="s">
        <v>791</v>
      </c>
      <c r="C438" s="150" t="s">
        <v>794</v>
      </c>
      <c r="D438" s="44"/>
      <c r="E438" s="63" t="s">
        <v>1115</v>
      </c>
      <c r="F438" s="46"/>
      <c r="G438" s="125" t="str">
        <f>IF($G$14="VT Panel","N/A","Yes")</f>
        <v>Yes</v>
      </c>
      <c r="H438" s="173"/>
    </row>
    <row r="439" spans="2:9" x14ac:dyDescent="0.25">
      <c r="B439" s="133" t="s">
        <v>792</v>
      </c>
      <c r="C439" s="150" t="s">
        <v>794</v>
      </c>
      <c r="D439" s="44"/>
      <c r="E439" s="63" t="s">
        <v>1116</v>
      </c>
      <c r="F439" s="46"/>
      <c r="G439" s="47" t="s">
        <v>1309</v>
      </c>
      <c r="H439" s="173"/>
    </row>
    <row r="440" spans="2:9" ht="26.4" x14ac:dyDescent="0.25">
      <c r="B440" s="133" t="s">
        <v>793</v>
      </c>
      <c r="C440" s="150" t="s">
        <v>871</v>
      </c>
      <c r="D440" s="44" t="s">
        <v>112</v>
      </c>
      <c r="E440" s="51" t="s">
        <v>1113</v>
      </c>
      <c r="F440" s="46"/>
      <c r="G440" s="52" t="s">
        <v>113</v>
      </c>
      <c r="H440" s="173"/>
    </row>
    <row r="441" spans="2:9" x14ac:dyDescent="0.25">
      <c r="B441" s="133" t="s">
        <v>795</v>
      </c>
      <c r="C441" s="150" t="s">
        <v>54</v>
      </c>
      <c r="D441" s="44" t="s">
        <v>112</v>
      </c>
      <c r="E441" s="51" t="s">
        <v>53</v>
      </c>
      <c r="F441" s="46"/>
      <c r="G441" s="52" t="s">
        <v>114</v>
      </c>
      <c r="H441" s="173"/>
    </row>
    <row r="442" spans="2:9" x14ac:dyDescent="0.25">
      <c r="B442" s="135"/>
      <c r="C442" s="152"/>
      <c r="D442" s="86"/>
      <c r="E442" s="79"/>
      <c r="F442" s="87"/>
      <c r="G442" s="73"/>
      <c r="H442" s="178"/>
    </row>
    <row r="443" spans="2:9" s="158" customFormat="1" ht="15.75" customHeight="1" x14ac:dyDescent="0.25">
      <c r="B443" s="139" t="s">
        <v>864</v>
      </c>
      <c r="C443" s="154" t="s">
        <v>910</v>
      </c>
      <c r="D443" s="255" t="s">
        <v>909</v>
      </c>
      <c r="E443" s="256"/>
      <c r="F443" s="257"/>
      <c r="G443" s="85"/>
      <c r="H443" s="177"/>
      <c r="I443" s="14"/>
    </row>
    <row r="444" spans="2:9" ht="12.75" customHeight="1" x14ac:dyDescent="0.25">
      <c r="B444" s="21"/>
      <c r="C444" s="21"/>
      <c r="D444" s="44" t="s">
        <v>112</v>
      </c>
      <c r="E444" s="258" t="s">
        <v>879</v>
      </c>
      <c r="F444" s="259"/>
      <c r="G444" s="62"/>
      <c r="H444" s="175"/>
    </row>
    <row r="445" spans="2:9" ht="26.4" x14ac:dyDescent="0.25">
      <c r="B445" s="133" t="s">
        <v>865</v>
      </c>
      <c r="C445" s="150" t="s">
        <v>870</v>
      </c>
      <c r="D445" s="44"/>
      <c r="E445" s="63" t="s">
        <v>875</v>
      </c>
      <c r="F445" s="46" t="s">
        <v>159</v>
      </c>
      <c r="G445" s="52" t="s">
        <v>876</v>
      </c>
      <c r="H445" s="173"/>
    </row>
    <row r="446" spans="2:9" x14ac:dyDescent="0.25">
      <c r="B446" s="133" t="s">
        <v>866</v>
      </c>
      <c r="C446" s="150" t="s">
        <v>873</v>
      </c>
      <c r="D446" s="44"/>
      <c r="E446" s="63" t="s">
        <v>872</v>
      </c>
      <c r="F446" s="46" t="s">
        <v>914</v>
      </c>
      <c r="G446" s="52" t="s">
        <v>878</v>
      </c>
      <c r="H446" s="173"/>
    </row>
    <row r="447" spans="2:9" x14ac:dyDescent="0.25">
      <c r="B447" s="133" t="s">
        <v>867</v>
      </c>
      <c r="C447" s="150" t="s">
        <v>874</v>
      </c>
      <c r="D447" s="44"/>
      <c r="E447" s="63" t="s">
        <v>877</v>
      </c>
      <c r="F447" s="46" t="s">
        <v>914</v>
      </c>
      <c r="G447" s="52" t="s">
        <v>878</v>
      </c>
      <c r="H447" s="173"/>
    </row>
    <row r="448" spans="2:9" ht="26.4" x14ac:dyDescent="0.25">
      <c r="B448" s="133" t="s">
        <v>869</v>
      </c>
      <c r="C448" s="150" t="s">
        <v>1117</v>
      </c>
      <c r="D448" s="44" t="s">
        <v>112</v>
      </c>
      <c r="E448" s="63" t="s">
        <v>823</v>
      </c>
      <c r="F448" s="46"/>
      <c r="G448" s="52" t="s">
        <v>113</v>
      </c>
      <c r="H448" s="173"/>
    </row>
    <row r="449" spans="2:9" ht="26.4" x14ac:dyDescent="0.25">
      <c r="B449" s="133" t="s">
        <v>868</v>
      </c>
      <c r="C449" s="150" t="s">
        <v>1118</v>
      </c>
      <c r="D449" s="44" t="s">
        <v>112</v>
      </c>
      <c r="E449" s="51" t="s">
        <v>827</v>
      </c>
      <c r="F449" s="46"/>
      <c r="G449" s="52" t="s">
        <v>113</v>
      </c>
      <c r="H449" s="173"/>
    </row>
    <row r="450" spans="2:9" ht="26.4" x14ac:dyDescent="0.25">
      <c r="B450" s="133" t="s">
        <v>911</v>
      </c>
      <c r="C450" s="150" t="s">
        <v>1119</v>
      </c>
      <c r="D450" s="44" t="s">
        <v>112</v>
      </c>
      <c r="E450" s="51" t="s">
        <v>401</v>
      </c>
      <c r="F450" s="46"/>
      <c r="G450" s="52" t="s">
        <v>113</v>
      </c>
      <c r="H450" s="173"/>
    </row>
    <row r="451" spans="2:9" ht="12.75" customHeight="1" x14ac:dyDescent="0.25">
      <c r="B451" s="133"/>
      <c r="C451" s="150"/>
      <c r="D451" s="44" t="s">
        <v>112</v>
      </c>
      <c r="E451" s="260" t="s">
        <v>913</v>
      </c>
      <c r="F451" s="261"/>
      <c r="G451" s="62"/>
      <c r="H451" s="177"/>
    </row>
    <row r="452" spans="2:9" ht="26.4" x14ac:dyDescent="0.25">
      <c r="B452" s="133" t="s">
        <v>20</v>
      </c>
      <c r="C452" s="150" t="s">
        <v>1120</v>
      </c>
      <c r="D452" s="44"/>
      <c r="E452" s="51" t="s">
        <v>396</v>
      </c>
      <c r="F452" s="46" t="s">
        <v>159</v>
      </c>
      <c r="G452" s="52" t="s">
        <v>402</v>
      </c>
      <c r="H452" s="173"/>
    </row>
    <row r="453" spans="2:9" x14ac:dyDescent="0.25">
      <c r="B453" s="135"/>
      <c r="C453" s="152"/>
      <c r="D453" s="86"/>
      <c r="E453" s="79"/>
      <c r="F453" s="87"/>
      <c r="G453" s="73"/>
      <c r="H453" s="178"/>
    </row>
    <row r="454" spans="2:9" s="158" customFormat="1" ht="15.75" customHeight="1" x14ac:dyDescent="0.25">
      <c r="B454" s="139" t="s">
        <v>880</v>
      </c>
      <c r="C454" s="154" t="s">
        <v>881</v>
      </c>
      <c r="D454" s="255" t="s">
        <v>882</v>
      </c>
      <c r="E454" s="256"/>
      <c r="F454" s="257"/>
      <c r="G454" s="85"/>
      <c r="H454" s="177"/>
      <c r="I454" s="14"/>
    </row>
    <row r="455" spans="2:9" ht="29.25" customHeight="1" x14ac:dyDescent="0.25">
      <c r="B455" s="140"/>
      <c r="C455" s="150"/>
      <c r="D455" s="281" t="s">
        <v>897</v>
      </c>
      <c r="E455" s="282"/>
      <c r="F455" s="283"/>
      <c r="G455" s="62"/>
      <c r="H455" s="177"/>
    </row>
    <row r="456" spans="2:9" x14ac:dyDescent="0.25">
      <c r="B456" s="21"/>
      <c r="C456" s="150" t="s">
        <v>884</v>
      </c>
      <c r="D456" s="44" t="s">
        <v>112</v>
      </c>
      <c r="E456" s="258" t="s">
        <v>885</v>
      </c>
      <c r="F456" s="259"/>
      <c r="G456" s="62"/>
      <c r="H456" s="175"/>
    </row>
    <row r="457" spans="2:9" ht="26.4" x14ac:dyDescent="0.25">
      <c r="B457" s="133" t="s">
        <v>883</v>
      </c>
      <c r="C457" s="150"/>
      <c r="D457" s="44"/>
      <c r="E457" s="63" t="s">
        <v>15</v>
      </c>
      <c r="F457" s="46" t="s">
        <v>159</v>
      </c>
      <c r="G457" s="52">
        <v>1</v>
      </c>
      <c r="H457" s="173"/>
    </row>
    <row r="458" spans="2:9" ht="26.4" x14ac:dyDescent="0.25">
      <c r="B458" s="133" t="s">
        <v>887</v>
      </c>
      <c r="C458" s="150"/>
      <c r="D458" s="44"/>
      <c r="E458" s="63" t="s">
        <v>16</v>
      </c>
      <c r="F458" s="46" t="s">
        <v>159</v>
      </c>
      <c r="G458" s="52">
        <v>1</v>
      </c>
      <c r="H458" s="173"/>
    </row>
    <row r="459" spans="2:9" ht="26.4" x14ac:dyDescent="0.25">
      <c r="B459" s="141" t="s">
        <v>888</v>
      </c>
      <c r="C459" s="150"/>
      <c r="D459" s="44"/>
      <c r="E459" s="162" t="s">
        <v>886</v>
      </c>
      <c r="F459" s="49" t="s">
        <v>159</v>
      </c>
      <c r="G459" s="88">
        <v>1</v>
      </c>
      <c r="H459" s="173"/>
    </row>
    <row r="460" spans="2:9" ht="26.4" x14ac:dyDescent="0.25">
      <c r="B460" s="141" t="s">
        <v>889</v>
      </c>
      <c r="C460" s="150"/>
      <c r="D460" s="44"/>
      <c r="E460" s="162" t="s">
        <v>892</v>
      </c>
      <c r="F460" s="49" t="s">
        <v>159</v>
      </c>
      <c r="G460" s="88">
        <v>1</v>
      </c>
      <c r="H460" s="173"/>
    </row>
    <row r="461" spans="2:9" ht="39.6" x14ac:dyDescent="0.25">
      <c r="B461" s="141" t="s">
        <v>890</v>
      </c>
      <c r="C461" s="150"/>
      <c r="D461" s="44"/>
      <c r="E461" s="162" t="s">
        <v>1276</v>
      </c>
      <c r="F461" s="49" t="s">
        <v>159</v>
      </c>
      <c r="G461" s="88">
        <v>1</v>
      </c>
      <c r="H461" s="173"/>
    </row>
    <row r="462" spans="2:9" ht="39.6" x14ac:dyDescent="0.25">
      <c r="B462" s="141" t="s">
        <v>891</v>
      </c>
      <c r="C462" s="150"/>
      <c r="D462" s="44"/>
      <c r="E462" s="162" t="s">
        <v>1277</v>
      </c>
      <c r="F462" s="49" t="s">
        <v>159</v>
      </c>
      <c r="G462" s="88">
        <v>1</v>
      </c>
      <c r="H462" s="173"/>
    </row>
    <row r="463" spans="2:9" ht="26.4" x14ac:dyDescent="0.25">
      <c r="B463" s="141" t="s">
        <v>893</v>
      </c>
      <c r="C463" s="150"/>
      <c r="D463" s="44"/>
      <c r="E463" s="162" t="s">
        <v>397</v>
      </c>
      <c r="F463" s="49" t="s">
        <v>159</v>
      </c>
      <c r="G463" s="88">
        <v>1</v>
      </c>
      <c r="H463" s="173"/>
    </row>
    <row r="464" spans="2:9" ht="39.6" x14ac:dyDescent="0.25">
      <c r="B464" s="141" t="s">
        <v>894</v>
      </c>
      <c r="C464" s="150"/>
      <c r="D464" s="44"/>
      <c r="E464" s="162" t="s">
        <v>1278</v>
      </c>
      <c r="F464" s="49" t="s">
        <v>159</v>
      </c>
      <c r="G464" s="88">
        <v>1</v>
      </c>
      <c r="H464" s="173"/>
    </row>
    <row r="465" spans="2:9" x14ac:dyDescent="0.25">
      <c r="B465" s="141" t="s">
        <v>895</v>
      </c>
      <c r="C465" s="150"/>
      <c r="D465" s="44"/>
      <c r="E465" s="162" t="s">
        <v>707</v>
      </c>
      <c r="F465" s="49" t="s">
        <v>159</v>
      </c>
      <c r="G465" s="88">
        <v>1</v>
      </c>
      <c r="H465" s="173"/>
    </row>
    <row r="466" spans="2:9" ht="26.4" x14ac:dyDescent="0.25">
      <c r="B466" s="141" t="s">
        <v>896</v>
      </c>
      <c r="C466" s="150"/>
      <c r="D466" s="44"/>
      <c r="E466" s="162" t="s">
        <v>708</v>
      </c>
      <c r="F466" s="49" t="s">
        <v>159</v>
      </c>
      <c r="G466" s="88">
        <v>1</v>
      </c>
      <c r="H466" s="173"/>
    </row>
    <row r="467" spans="2:9" x14ac:dyDescent="0.25">
      <c r="B467" s="133" t="s">
        <v>898</v>
      </c>
      <c r="C467" s="150"/>
      <c r="D467" s="44"/>
      <c r="E467" s="162" t="s">
        <v>709</v>
      </c>
      <c r="F467" s="49" t="s">
        <v>159</v>
      </c>
      <c r="G467" s="88">
        <v>1</v>
      </c>
      <c r="H467" s="173"/>
    </row>
    <row r="468" spans="2:9" x14ac:dyDescent="0.25">
      <c r="B468" s="133" t="s">
        <v>899</v>
      </c>
      <c r="C468" s="150"/>
      <c r="D468" s="44"/>
      <c r="E468" s="162" t="s">
        <v>400</v>
      </c>
      <c r="F468" s="49" t="s">
        <v>159</v>
      </c>
      <c r="G468" s="88">
        <v>1</v>
      </c>
      <c r="H468" s="173"/>
    </row>
    <row r="469" spans="2:9" x14ac:dyDescent="0.25">
      <c r="B469" s="133"/>
      <c r="C469" s="150" t="s">
        <v>904</v>
      </c>
      <c r="D469" s="44" t="s">
        <v>112</v>
      </c>
      <c r="E469" s="260" t="s">
        <v>903</v>
      </c>
      <c r="F469" s="261"/>
      <c r="G469" s="62"/>
      <c r="H469" s="175"/>
    </row>
    <row r="470" spans="2:9" x14ac:dyDescent="0.25">
      <c r="B470" s="133" t="s">
        <v>900</v>
      </c>
      <c r="C470" s="150"/>
      <c r="D470" s="44"/>
      <c r="E470" s="63" t="s">
        <v>905</v>
      </c>
      <c r="F470" s="46" t="s">
        <v>159</v>
      </c>
      <c r="G470" s="52">
        <v>1</v>
      </c>
      <c r="H470" s="173"/>
    </row>
    <row r="471" spans="2:9" ht="26.4" x14ac:dyDescent="0.25">
      <c r="B471" s="141" t="s">
        <v>901</v>
      </c>
      <c r="C471" s="150"/>
      <c r="D471" s="44"/>
      <c r="E471" s="63" t="s">
        <v>1279</v>
      </c>
      <c r="F471" s="46" t="s">
        <v>159</v>
      </c>
      <c r="G471" s="52">
        <v>1</v>
      </c>
      <c r="H471" s="173"/>
    </row>
    <row r="472" spans="2:9" x14ac:dyDescent="0.25">
      <c r="B472" s="133" t="s">
        <v>902</v>
      </c>
      <c r="C472" s="150"/>
      <c r="D472" s="44"/>
      <c r="E472" s="63" t="s">
        <v>382</v>
      </c>
      <c r="F472" s="46" t="s">
        <v>159</v>
      </c>
      <c r="G472" s="52">
        <v>1</v>
      </c>
      <c r="H472" s="173"/>
    </row>
    <row r="473" spans="2:9" ht="26.4" x14ac:dyDescent="0.25">
      <c r="B473" s="133" t="s">
        <v>381</v>
      </c>
      <c r="C473" s="150"/>
      <c r="D473" s="44"/>
      <c r="E473" s="190" t="s">
        <v>706</v>
      </c>
      <c r="F473" s="49" t="s">
        <v>159</v>
      </c>
      <c r="G473" s="88">
        <v>1</v>
      </c>
      <c r="H473" s="173"/>
    </row>
    <row r="474" spans="2:9" ht="26.4" x14ac:dyDescent="0.25">
      <c r="B474" s="133" t="s">
        <v>710</v>
      </c>
      <c r="C474" s="150" t="s">
        <v>1173</v>
      </c>
      <c r="D474" s="44" t="s">
        <v>112</v>
      </c>
      <c r="E474" s="193" t="s">
        <v>1280</v>
      </c>
      <c r="F474" s="46"/>
      <c r="G474" s="194" t="s">
        <v>113</v>
      </c>
      <c r="H474" s="173"/>
    </row>
    <row r="475" spans="2:9" x14ac:dyDescent="0.25">
      <c r="B475" s="133" t="s">
        <v>711</v>
      </c>
      <c r="C475" s="150"/>
      <c r="D475" s="44" t="s">
        <v>112</v>
      </c>
      <c r="E475" s="51" t="s">
        <v>1175</v>
      </c>
      <c r="F475" s="46"/>
      <c r="G475" s="52" t="s">
        <v>160</v>
      </c>
      <c r="H475" s="173"/>
    </row>
    <row r="476" spans="2:9" ht="26.4" x14ac:dyDescent="0.25">
      <c r="B476" s="133" t="s">
        <v>1174</v>
      </c>
      <c r="C476" s="150"/>
      <c r="D476" s="44" t="s">
        <v>112</v>
      </c>
      <c r="E476" s="51" t="s">
        <v>1176</v>
      </c>
      <c r="F476" s="46"/>
      <c r="G476" s="52" t="s">
        <v>160</v>
      </c>
      <c r="H476" s="173"/>
    </row>
    <row r="477" spans="2:9" ht="13.8" thickBot="1" x14ac:dyDescent="0.3">
      <c r="B477" s="137"/>
      <c r="C477" s="153"/>
      <c r="D477" s="68"/>
      <c r="E477" s="69"/>
      <c r="F477" s="70"/>
      <c r="G477" s="71"/>
      <c r="H477" s="180"/>
    </row>
    <row r="478" spans="2:9" s="41" customFormat="1" ht="15.75" customHeight="1" x14ac:dyDescent="0.25">
      <c r="B478" s="132" t="s">
        <v>906</v>
      </c>
      <c r="C478" s="150"/>
      <c r="D478" s="263" t="s">
        <v>156</v>
      </c>
      <c r="E478" s="264"/>
      <c r="F478" s="265"/>
      <c r="G478" s="43"/>
      <c r="H478" s="177"/>
      <c r="I478" s="14"/>
    </row>
    <row r="479" spans="2:9" x14ac:dyDescent="0.25">
      <c r="B479" s="138"/>
      <c r="C479" s="150"/>
      <c r="D479" s="44" t="s">
        <v>112</v>
      </c>
      <c r="E479" s="258" t="s">
        <v>137</v>
      </c>
      <c r="F479" s="259"/>
      <c r="G479" s="62"/>
      <c r="H479" s="175"/>
    </row>
    <row r="480" spans="2:9" x14ac:dyDescent="0.25">
      <c r="B480" s="133" t="s">
        <v>915</v>
      </c>
      <c r="C480" s="150"/>
      <c r="D480" s="44"/>
      <c r="E480" s="51" t="s">
        <v>157</v>
      </c>
      <c r="F480" s="46" t="s">
        <v>180</v>
      </c>
      <c r="G480" s="52" t="s">
        <v>114</v>
      </c>
      <c r="H480" s="209"/>
    </row>
    <row r="481" spans="2:9" ht="39.6" x14ac:dyDescent="0.25">
      <c r="B481" s="133" t="s">
        <v>916</v>
      </c>
      <c r="C481" s="150"/>
      <c r="D481" s="44"/>
      <c r="E481" s="51" t="s">
        <v>158</v>
      </c>
      <c r="F481" s="46" t="s">
        <v>180</v>
      </c>
      <c r="G481" s="47" t="s">
        <v>398</v>
      </c>
      <c r="H481" s="173"/>
    </row>
    <row r="482" spans="2:9" x14ac:dyDescent="0.25">
      <c r="B482" s="133" t="s">
        <v>825</v>
      </c>
      <c r="C482" s="150" t="s">
        <v>826</v>
      </c>
      <c r="D482" s="44"/>
      <c r="E482" s="51" t="s">
        <v>1177</v>
      </c>
      <c r="F482" s="46" t="s">
        <v>399</v>
      </c>
      <c r="G482" s="52" t="s">
        <v>113</v>
      </c>
      <c r="H482" s="173"/>
    </row>
    <row r="483" spans="2:9" ht="13.8" thickBot="1" x14ac:dyDescent="0.3">
      <c r="B483" s="142"/>
      <c r="C483" s="155"/>
      <c r="D483" s="92"/>
      <c r="E483" s="92"/>
      <c r="F483" s="92"/>
      <c r="G483" s="93"/>
      <c r="H483" s="181"/>
    </row>
    <row r="484" spans="2:9" s="41" customFormat="1" ht="15.75" customHeight="1" x14ac:dyDescent="0.25">
      <c r="B484" s="132" t="s">
        <v>907</v>
      </c>
      <c r="C484" s="150" t="s">
        <v>394</v>
      </c>
      <c r="D484" s="263" t="s">
        <v>174</v>
      </c>
      <c r="E484" s="264"/>
      <c r="F484" s="265"/>
      <c r="G484" s="43"/>
      <c r="H484" s="177"/>
      <c r="I484" s="14"/>
    </row>
    <row r="485" spans="2:9" s="20" customFormat="1" ht="52.8" x14ac:dyDescent="0.25">
      <c r="B485" s="133" t="s">
        <v>917</v>
      </c>
      <c r="C485" s="150"/>
      <c r="D485" s="44" t="s">
        <v>112</v>
      </c>
      <c r="E485" s="51" t="s">
        <v>1281</v>
      </c>
      <c r="F485" s="46" t="s">
        <v>399</v>
      </c>
      <c r="G485" s="47" t="s">
        <v>113</v>
      </c>
      <c r="H485" s="173"/>
      <c r="I485" s="14"/>
    </row>
    <row r="486" spans="2:9" s="20" customFormat="1" ht="13.8" thickBot="1" x14ac:dyDescent="0.3">
      <c r="B486" s="137"/>
      <c r="C486" s="153"/>
      <c r="D486" s="103"/>
      <c r="E486" s="104"/>
      <c r="F486" s="70"/>
      <c r="G486" s="67"/>
      <c r="H486" s="11"/>
      <c r="I486" s="14"/>
    </row>
    <row r="488" spans="2:9" s="12" customFormat="1" ht="15.75" hidden="1" customHeight="1" x14ac:dyDescent="0.25">
      <c r="B488" s="266" t="s">
        <v>136</v>
      </c>
      <c r="C488" s="266"/>
      <c r="D488" s="266"/>
      <c r="E488" s="266"/>
      <c r="F488" s="74"/>
      <c r="G488" s="75"/>
      <c r="H488" s="76"/>
      <c r="I488" s="77"/>
    </row>
    <row r="489" spans="2:9" s="20" customFormat="1" hidden="1" x14ac:dyDescent="0.25">
      <c r="B489" s="143"/>
      <c r="C489" s="146"/>
      <c r="F489" s="23"/>
      <c r="G489" s="13"/>
      <c r="H489" s="78"/>
      <c r="I489" s="14"/>
    </row>
    <row r="490" spans="2:9" s="20" customFormat="1" hidden="1" x14ac:dyDescent="0.25">
      <c r="B490" s="144"/>
      <c r="C490" s="144"/>
      <c r="E490" s="79" t="s">
        <v>130</v>
      </c>
      <c r="F490" s="23"/>
      <c r="G490" s="80"/>
      <c r="H490" s="81"/>
      <c r="I490" s="14"/>
    </row>
    <row r="491" spans="2:9" s="20" customFormat="1" ht="12.75" hidden="1" customHeight="1" x14ac:dyDescent="0.25">
      <c r="B491" s="262" t="s">
        <v>131</v>
      </c>
      <c r="C491" s="262"/>
      <c r="E491" s="13" t="s">
        <v>132</v>
      </c>
      <c r="F491" s="23"/>
      <c r="G491" s="13" t="s">
        <v>133</v>
      </c>
      <c r="H491" s="78" t="s">
        <v>115</v>
      </c>
      <c r="I491" s="14"/>
    </row>
    <row r="492" spans="2:9" s="20" customFormat="1" hidden="1" x14ac:dyDescent="0.25">
      <c r="B492" s="143"/>
      <c r="C492" s="143"/>
      <c r="E492" s="13"/>
      <c r="F492" s="23"/>
      <c r="G492" s="13"/>
      <c r="H492" s="78"/>
      <c r="I492" s="14"/>
    </row>
    <row r="493" spans="2:9" s="20" customFormat="1" hidden="1" x14ac:dyDescent="0.25">
      <c r="B493" s="144"/>
      <c r="C493" s="144"/>
      <c r="E493" s="79" t="s">
        <v>130</v>
      </c>
      <c r="F493" s="23"/>
      <c r="G493" s="80"/>
      <c r="H493" s="81"/>
      <c r="I493" s="14"/>
    </row>
    <row r="494" spans="2:9" s="20" customFormat="1" ht="12.75" hidden="1" customHeight="1" x14ac:dyDescent="0.25">
      <c r="B494" s="262" t="s">
        <v>134</v>
      </c>
      <c r="C494" s="262"/>
      <c r="E494" s="13" t="s">
        <v>132</v>
      </c>
      <c r="F494" s="23"/>
      <c r="G494" s="13" t="s">
        <v>133</v>
      </c>
      <c r="H494" s="78" t="s">
        <v>115</v>
      </c>
      <c r="I494" s="14"/>
    </row>
    <row r="495" spans="2:9" s="20" customFormat="1" hidden="1" x14ac:dyDescent="0.25">
      <c r="B495" s="143"/>
      <c r="C495" s="143"/>
      <c r="E495" s="13"/>
      <c r="F495" s="23"/>
      <c r="G495" s="13"/>
      <c r="H495" s="78"/>
      <c r="I495" s="14"/>
    </row>
    <row r="496" spans="2:9" s="20" customFormat="1" hidden="1" x14ac:dyDescent="0.25">
      <c r="B496" s="144"/>
      <c r="C496" s="144"/>
      <c r="E496" s="79" t="s">
        <v>130</v>
      </c>
      <c r="F496" s="23"/>
      <c r="G496" s="80"/>
      <c r="H496" s="81"/>
      <c r="I496" s="14"/>
    </row>
    <row r="497" spans="2:63" s="20" customFormat="1" hidden="1" x14ac:dyDescent="0.25">
      <c r="B497" s="262" t="s">
        <v>135</v>
      </c>
      <c r="C497" s="262"/>
      <c r="E497" s="13" t="s">
        <v>132</v>
      </c>
      <c r="F497" s="23"/>
      <c r="G497" s="13" t="s">
        <v>133</v>
      </c>
      <c r="H497" s="78" t="s">
        <v>115</v>
      </c>
      <c r="I497" s="14"/>
    </row>
    <row r="498" spans="2:63" hidden="1" x14ac:dyDescent="0.25">
      <c r="C498" s="143"/>
      <c r="E498" s="21"/>
    </row>
    <row r="499" spans="2:63" ht="16.5" hidden="1" customHeight="1" x14ac:dyDescent="0.25">
      <c r="E499" s="21"/>
    </row>
    <row r="500" spans="2:63" hidden="1" x14ac:dyDescent="0.25">
      <c r="E500" s="21"/>
    </row>
    <row r="501" spans="2:63" ht="12.75" hidden="1" customHeight="1" x14ac:dyDescent="0.25">
      <c r="E501" s="21"/>
    </row>
    <row r="502" spans="2:63" ht="12.75" hidden="1" customHeight="1" x14ac:dyDescent="0.25"/>
    <row r="503" spans="2:63" ht="38.25" hidden="1" customHeight="1" x14ac:dyDescent="0.25">
      <c r="M503" t="s">
        <v>109</v>
      </c>
      <c r="N503" t="s">
        <v>186</v>
      </c>
      <c r="O503" t="s">
        <v>129</v>
      </c>
      <c r="P503" s="21" t="s">
        <v>191</v>
      </c>
      <c r="Q503" s="21" t="s">
        <v>193</v>
      </c>
      <c r="R503" s="21" t="s">
        <v>194</v>
      </c>
      <c r="S503" s="21" t="s">
        <v>197</v>
      </c>
      <c r="T503" s="21" t="s">
        <v>198</v>
      </c>
      <c r="U503" s="21" t="s">
        <v>201</v>
      </c>
      <c r="V503" s="21" t="s">
        <v>202</v>
      </c>
      <c r="W503" s="21" t="s">
        <v>229</v>
      </c>
      <c r="X503" s="21" t="s">
        <v>231</v>
      </c>
      <c r="Y503" s="21" t="s">
        <v>223</v>
      </c>
      <c r="Z503" s="21" t="s">
        <v>230</v>
      </c>
      <c r="AA503" s="21" t="s">
        <v>224</v>
      </c>
      <c r="AB503" s="191" t="s">
        <v>927</v>
      </c>
      <c r="AC503" s="21" t="s">
        <v>234</v>
      </c>
      <c r="AD503" s="21" t="s">
        <v>235</v>
      </c>
      <c r="AE503" s="191" t="s">
        <v>928</v>
      </c>
      <c r="AF503" s="21" t="s">
        <v>236</v>
      </c>
      <c r="AG503" s="21" t="s">
        <v>237</v>
      </c>
      <c r="AH503" s="21" t="s">
        <v>238</v>
      </c>
      <c r="AI503" s="21" t="s">
        <v>261</v>
      </c>
      <c r="AJ503" s="21" t="s">
        <v>263</v>
      </c>
      <c r="AK503" s="21" t="s">
        <v>297</v>
      </c>
      <c r="AL503" s="21" t="s">
        <v>303</v>
      </c>
      <c r="AM503" s="21" t="s">
        <v>307</v>
      </c>
      <c r="AN503" s="21" t="s">
        <v>322</v>
      </c>
      <c r="AO503" s="21" t="s">
        <v>373</v>
      </c>
      <c r="AP503" s="21" t="s">
        <v>531</v>
      </c>
      <c r="AQ503" s="21" t="s">
        <v>89</v>
      </c>
      <c r="AR503" s="21" t="s">
        <v>92</v>
      </c>
      <c r="AS503" s="21" t="s">
        <v>100</v>
      </c>
      <c r="AT503" s="21" t="s">
        <v>105</v>
      </c>
      <c r="AU503" s="21" t="s">
        <v>647</v>
      </c>
      <c r="AV503" s="21" t="s">
        <v>657</v>
      </c>
      <c r="AW503" s="21" t="s">
        <v>658</v>
      </c>
      <c r="AX503" s="21" t="s">
        <v>659</v>
      </c>
      <c r="AY503" s="21" t="s">
        <v>660</v>
      </c>
      <c r="AZ503" s="20" t="s">
        <v>964</v>
      </c>
      <c r="BA503" s="20" t="s">
        <v>1036</v>
      </c>
    </row>
    <row r="504" spans="2:63" ht="12.75" hidden="1" customHeight="1" x14ac:dyDescent="0.25">
      <c r="M504" s="20"/>
      <c r="N504" s="20"/>
      <c r="O504" s="20"/>
    </row>
    <row r="505" spans="2:63" ht="12.75" hidden="1" customHeight="1" x14ac:dyDescent="0.25">
      <c r="M505" s="20" t="s">
        <v>187</v>
      </c>
      <c r="N505" s="13" t="s">
        <v>364</v>
      </c>
      <c r="O505" s="13" t="s">
        <v>364</v>
      </c>
      <c r="P505" s="13" t="s">
        <v>364</v>
      </c>
      <c r="Q505" s="13" t="s">
        <v>364</v>
      </c>
      <c r="R505" s="13" t="s">
        <v>364</v>
      </c>
      <c r="S505" s="13" t="s">
        <v>364</v>
      </c>
      <c r="T505" s="13" t="s">
        <v>364</v>
      </c>
      <c r="U505" s="13" t="s">
        <v>364</v>
      </c>
      <c r="V505" s="13" t="s">
        <v>364</v>
      </c>
      <c r="W505" s="13" t="s">
        <v>364</v>
      </c>
      <c r="X505" s="13" t="s">
        <v>364</v>
      </c>
      <c r="Y505" s="13" t="s">
        <v>364</v>
      </c>
      <c r="Z505" s="13" t="s">
        <v>364</v>
      </c>
      <c r="AA505" s="13" t="s">
        <v>364</v>
      </c>
      <c r="AB505" s="13" t="s">
        <v>364</v>
      </c>
      <c r="AC505" s="13" t="s">
        <v>364</v>
      </c>
      <c r="AD505" s="13" t="s">
        <v>364</v>
      </c>
      <c r="AE505" s="13" t="s">
        <v>364</v>
      </c>
      <c r="AF505" s="13" t="s">
        <v>364</v>
      </c>
      <c r="AG505" s="13" t="s">
        <v>364</v>
      </c>
      <c r="AH505" s="13" t="s">
        <v>364</v>
      </c>
      <c r="AI505" s="13" t="s">
        <v>364</v>
      </c>
      <c r="AJ505" s="13" t="s">
        <v>364</v>
      </c>
      <c r="AK505" s="13" t="s">
        <v>364</v>
      </c>
      <c r="AL505" s="13" t="s">
        <v>364</v>
      </c>
      <c r="AM505" s="13" t="s">
        <v>364</v>
      </c>
      <c r="AN505" s="13" t="s">
        <v>364</v>
      </c>
      <c r="AO505" s="13" t="s">
        <v>364</v>
      </c>
      <c r="AP505" s="13" t="s">
        <v>364</v>
      </c>
      <c r="AQ505" s="13" t="s">
        <v>364</v>
      </c>
      <c r="AR505" s="13" t="s">
        <v>364</v>
      </c>
      <c r="AS505" s="13" t="s">
        <v>364</v>
      </c>
      <c r="AT505" s="13" t="s">
        <v>364</v>
      </c>
      <c r="AU505" s="13" t="s">
        <v>364</v>
      </c>
      <c r="AV505" s="13" t="s">
        <v>364</v>
      </c>
      <c r="AW505" s="13" t="s">
        <v>364</v>
      </c>
      <c r="AX505" s="13" t="s">
        <v>364</v>
      </c>
      <c r="AY505" s="13" t="s">
        <v>364</v>
      </c>
      <c r="AZ505" s="157" t="s">
        <v>364</v>
      </c>
      <c r="BA505" s="13" t="s">
        <v>364</v>
      </c>
      <c r="BB505" s="13"/>
      <c r="BC505" s="157" t="s">
        <v>463</v>
      </c>
      <c r="BD505" s="157" t="s">
        <v>463</v>
      </c>
      <c r="BE505" s="157" t="s">
        <v>463</v>
      </c>
      <c r="BF505" s="157" t="s">
        <v>463</v>
      </c>
      <c r="BG505" s="157" t="s">
        <v>463</v>
      </c>
      <c r="BH505" s="157" t="s">
        <v>463</v>
      </c>
      <c r="BI505" s="157" t="s">
        <v>463</v>
      </c>
      <c r="BJ505" s="157" t="s">
        <v>463</v>
      </c>
      <c r="BK505" s="157" t="s">
        <v>463</v>
      </c>
    </row>
    <row r="506" spans="2:63" ht="12.75" hidden="1" customHeight="1" x14ac:dyDescent="0.25">
      <c r="B506" s="21"/>
      <c r="C506" s="21"/>
      <c r="E506" s="21"/>
      <c r="F506" s="21"/>
      <c r="G506" s="21"/>
      <c r="H506" s="21"/>
      <c r="I506" s="21"/>
      <c r="M506" s="311" t="s">
        <v>1128</v>
      </c>
      <c r="N506" s="311" t="s">
        <v>1127</v>
      </c>
      <c r="O506" s="312" t="s">
        <v>1129</v>
      </c>
      <c r="P506" s="21">
        <v>12</v>
      </c>
      <c r="Q506" s="313" t="s">
        <v>1031</v>
      </c>
      <c r="R506" s="313" t="s">
        <v>1032</v>
      </c>
      <c r="S506" s="21">
        <v>2500</v>
      </c>
      <c r="T506" s="21">
        <v>2500</v>
      </c>
      <c r="U506" s="21" t="s">
        <v>1033</v>
      </c>
      <c r="V506" s="21" t="s">
        <v>1034</v>
      </c>
      <c r="W506" s="21" t="s">
        <v>1033</v>
      </c>
      <c r="X506" s="21" t="s">
        <v>152</v>
      </c>
      <c r="Y506" s="21" t="s">
        <v>211</v>
      </c>
      <c r="Z506" s="21" t="s">
        <v>1034</v>
      </c>
      <c r="AA506" s="311" t="s">
        <v>226</v>
      </c>
      <c r="AB506" s="26" t="s">
        <v>268</v>
      </c>
      <c r="AC506" s="21">
        <v>10</v>
      </c>
      <c r="AD506" s="21">
        <v>25</v>
      </c>
      <c r="AE506" s="26" t="s">
        <v>114</v>
      </c>
      <c r="AF506" s="21">
        <v>400</v>
      </c>
      <c r="AG506" s="21">
        <v>400</v>
      </c>
      <c r="AH506" s="21">
        <v>20</v>
      </c>
      <c r="AI506" s="21" t="s">
        <v>270</v>
      </c>
      <c r="AJ506" s="21">
        <v>2000</v>
      </c>
      <c r="AK506" s="21" t="s">
        <v>298</v>
      </c>
      <c r="AL506" s="21" t="s">
        <v>304</v>
      </c>
      <c r="AM506" s="21" t="s">
        <v>308</v>
      </c>
      <c r="AN506" s="21">
        <v>11</v>
      </c>
      <c r="AO506" s="21">
        <v>157.5</v>
      </c>
      <c r="AP506" s="21" t="s">
        <v>1154</v>
      </c>
      <c r="AQ506" s="21" t="s">
        <v>195</v>
      </c>
      <c r="AR506" s="21" t="s">
        <v>195</v>
      </c>
      <c r="AS506" s="21" t="s">
        <v>195</v>
      </c>
      <c r="AT506" s="21" t="s">
        <v>195</v>
      </c>
      <c r="AU506" s="311" t="s">
        <v>648</v>
      </c>
      <c r="AV506" s="21" t="s">
        <v>1317</v>
      </c>
      <c r="AW506" s="21" t="s">
        <v>195</v>
      </c>
      <c r="AX506" s="21" t="s">
        <v>195</v>
      </c>
      <c r="AY506" s="21" t="s">
        <v>195</v>
      </c>
      <c r="AZ506" s="21" t="s">
        <v>147</v>
      </c>
      <c r="BA506" s="21" t="s">
        <v>195</v>
      </c>
    </row>
    <row r="507" spans="2:63" ht="12.75" hidden="1" customHeight="1" x14ac:dyDescent="0.25">
      <c r="B507" s="21"/>
      <c r="C507" s="21"/>
      <c r="E507" s="21"/>
      <c r="F507" s="21"/>
      <c r="G507" s="21"/>
      <c r="H507" s="21"/>
      <c r="I507" s="21"/>
      <c r="M507" s="311" t="s">
        <v>1132</v>
      </c>
      <c r="N507" s="311" t="s">
        <v>1127</v>
      </c>
      <c r="O507" s="312" t="s">
        <v>1133</v>
      </c>
      <c r="P507" s="21">
        <v>12</v>
      </c>
      <c r="Q507" s="313" t="s">
        <v>1031</v>
      </c>
      <c r="R507" s="313" t="s">
        <v>1032</v>
      </c>
      <c r="S507" s="21">
        <v>2500</v>
      </c>
      <c r="T507" s="21">
        <v>2500</v>
      </c>
      <c r="U507" s="21" t="s">
        <v>1033</v>
      </c>
      <c r="V507" s="21" t="s">
        <v>1034</v>
      </c>
      <c r="W507" s="21" t="s">
        <v>1033</v>
      </c>
      <c r="X507" s="21" t="s">
        <v>152</v>
      </c>
      <c r="Y507" s="21" t="s">
        <v>211</v>
      </c>
      <c r="Z507" s="21" t="s">
        <v>1034</v>
      </c>
      <c r="AA507" s="311" t="s">
        <v>226</v>
      </c>
      <c r="AB507" s="26" t="s">
        <v>268</v>
      </c>
      <c r="AC507" s="21">
        <v>10</v>
      </c>
      <c r="AD507" s="21">
        <v>25</v>
      </c>
      <c r="AE507" s="26" t="s">
        <v>114</v>
      </c>
      <c r="AF507" s="21">
        <v>400</v>
      </c>
      <c r="AG507" s="21">
        <v>400</v>
      </c>
      <c r="AH507" s="21">
        <v>20</v>
      </c>
      <c r="AI507" s="21" t="s">
        <v>270</v>
      </c>
      <c r="AJ507" s="21">
        <v>2000</v>
      </c>
      <c r="AK507" s="21" t="s">
        <v>298</v>
      </c>
      <c r="AL507" s="21" t="s">
        <v>304</v>
      </c>
      <c r="AM507" s="21" t="s">
        <v>309</v>
      </c>
      <c r="AN507" s="21">
        <v>11</v>
      </c>
      <c r="AO507" s="21">
        <v>157.5</v>
      </c>
      <c r="AP507" s="21" t="s">
        <v>1154</v>
      </c>
      <c r="AQ507" s="21" t="s">
        <v>1311</v>
      </c>
      <c r="AR507" s="21" t="s">
        <v>94</v>
      </c>
      <c r="AS507" s="21">
        <v>600</v>
      </c>
      <c r="AT507" s="21">
        <v>157.5</v>
      </c>
      <c r="AU507" s="311" t="s">
        <v>649</v>
      </c>
      <c r="AV507" s="21" t="s">
        <v>1317</v>
      </c>
      <c r="AW507" s="21" t="s">
        <v>665</v>
      </c>
      <c r="AX507" s="21" t="s">
        <v>668</v>
      </c>
      <c r="AY507" s="21">
        <v>5</v>
      </c>
      <c r="AZ507" s="21" t="s">
        <v>113</v>
      </c>
      <c r="BA507" s="21" t="s">
        <v>1037</v>
      </c>
    </row>
    <row r="508" spans="2:63" ht="12.75" hidden="1" customHeight="1" x14ac:dyDescent="0.25">
      <c r="B508" s="21"/>
      <c r="C508" s="21"/>
      <c r="E508" s="21"/>
      <c r="F508" s="21"/>
      <c r="G508" s="21"/>
      <c r="H508" s="21"/>
      <c r="I508" s="21"/>
      <c r="M508" s="311" t="s">
        <v>1130</v>
      </c>
      <c r="N508" s="311" t="s">
        <v>1127</v>
      </c>
      <c r="O508" s="312" t="s">
        <v>1131</v>
      </c>
      <c r="P508" s="21">
        <v>12</v>
      </c>
      <c r="Q508" s="313" t="s">
        <v>1031</v>
      </c>
      <c r="R508" s="313" t="s">
        <v>1032</v>
      </c>
      <c r="S508" s="21">
        <v>2500</v>
      </c>
      <c r="T508" s="21">
        <v>630</v>
      </c>
      <c r="U508" s="21" t="s">
        <v>1033</v>
      </c>
      <c r="V508" s="21" t="s">
        <v>1034</v>
      </c>
      <c r="W508" s="21" t="s">
        <v>1033</v>
      </c>
      <c r="X508" s="21" t="s">
        <v>152</v>
      </c>
      <c r="Y508" s="21" t="s">
        <v>211</v>
      </c>
      <c r="Z508" s="21" t="s">
        <v>1034</v>
      </c>
      <c r="AA508" s="311" t="s">
        <v>225</v>
      </c>
      <c r="AB508" s="26" t="s">
        <v>269</v>
      </c>
      <c r="AC508" s="21">
        <v>10</v>
      </c>
      <c r="AD508" s="21">
        <v>25</v>
      </c>
      <c r="AE508" s="26" t="s">
        <v>114</v>
      </c>
      <c r="AF508" s="21">
        <v>400</v>
      </c>
      <c r="AG508" s="21">
        <v>400</v>
      </c>
      <c r="AH508" s="21">
        <v>20</v>
      </c>
      <c r="AI508" s="21" t="s">
        <v>271</v>
      </c>
      <c r="AJ508" s="21">
        <v>10000</v>
      </c>
      <c r="AK508" s="21" t="s">
        <v>299</v>
      </c>
      <c r="AL508" s="21" t="s">
        <v>304</v>
      </c>
      <c r="AM508" s="21" t="s">
        <v>310</v>
      </c>
      <c r="AN508" s="21">
        <v>11</v>
      </c>
      <c r="AO508" s="21">
        <v>157.5</v>
      </c>
      <c r="AP508" s="21" t="s">
        <v>1154</v>
      </c>
      <c r="AQ508" s="21">
        <v>1</v>
      </c>
      <c r="AR508" s="187" t="s">
        <v>93</v>
      </c>
      <c r="AS508" s="21">
        <v>600</v>
      </c>
      <c r="AT508" s="21">
        <v>157.5</v>
      </c>
      <c r="AU508" s="311" t="s">
        <v>650</v>
      </c>
      <c r="AV508" s="21" t="s">
        <v>661</v>
      </c>
      <c r="AW508" s="21" t="s">
        <v>666</v>
      </c>
      <c r="AX508" s="21" t="s">
        <v>667</v>
      </c>
      <c r="AY508" s="21">
        <v>5</v>
      </c>
      <c r="AZ508" s="21" t="s">
        <v>113</v>
      </c>
      <c r="BA508" s="21" t="s">
        <v>1038</v>
      </c>
    </row>
    <row r="509" spans="2:63" ht="12.75" hidden="1" customHeight="1" x14ac:dyDescent="0.25"/>
    <row r="510" spans="2:63" ht="12.75" hidden="1" customHeight="1" x14ac:dyDescent="0.25">
      <c r="B510" s="21"/>
      <c r="C510" s="21"/>
      <c r="E510" s="21"/>
      <c r="F510" s="21"/>
      <c r="G510" s="21"/>
      <c r="H510" s="21"/>
      <c r="I510" s="21"/>
      <c r="AZ510" s="21" t="str">
        <f>VLOOKUP($E$11,$M$505:$BW$508,40,FALSE)</f>
        <v>Yes</v>
      </c>
    </row>
    <row r="511" spans="2:63" hidden="1" x14ac:dyDescent="0.25"/>
    <row r="512" spans="2:63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</sheetData>
  <sheetProtection password="8D12" sheet="1" selectLockedCells="1"/>
  <protectedRanges>
    <protectedRange sqref="H483:H485 H20:H40 H42:H54 H451:H481 H373:H449 H59:H370" name="Range2"/>
    <protectedRange sqref="E11" name="Range1"/>
    <protectedRange sqref="H371:H372" name="Range2_1"/>
    <protectedRange sqref="H41" name="Range2_2"/>
    <protectedRange sqref="H55:H58" name="Range2_3"/>
    <protectedRange sqref="H450" name="Range2_4"/>
    <protectedRange sqref="H482" name="Range2_10"/>
  </protectedRanges>
  <mergeCells count="54">
    <mergeCell ref="E291:F291"/>
    <mergeCell ref="E469:F469"/>
    <mergeCell ref="D443:F443"/>
    <mergeCell ref="E444:F444"/>
    <mergeCell ref="D454:F454"/>
    <mergeCell ref="E456:F456"/>
    <mergeCell ref="D455:F455"/>
    <mergeCell ref="E451:F451"/>
    <mergeCell ref="D10:E10"/>
    <mergeCell ref="D73:F73"/>
    <mergeCell ref="D97:F97"/>
    <mergeCell ref="D165:F165"/>
    <mergeCell ref="D225:F225"/>
    <mergeCell ref="D139:F139"/>
    <mergeCell ref="E134:F134"/>
    <mergeCell ref="D19:E19"/>
    <mergeCell ref="D111:F111"/>
    <mergeCell ref="D114:F114"/>
    <mergeCell ref="D117:F117"/>
    <mergeCell ref="D125:F125"/>
    <mergeCell ref="D65:F65"/>
    <mergeCell ref="D146:F146"/>
    <mergeCell ref="D157:F157"/>
    <mergeCell ref="D205:F205"/>
    <mergeCell ref="B1:H1"/>
    <mergeCell ref="B5:H5"/>
    <mergeCell ref="B6:H6"/>
    <mergeCell ref="D9:E9"/>
    <mergeCell ref="G4:H4"/>
    <mergeCell ref="B2:H2"/>
    <mergeCell ref="B3:H3"/>
    <mergeCell ref="B497:C497"/>
    <mergeCell ref="D478:F478"/>
    <mergeCell ref="D484:F484"/>
    <mergeCell ref="B494:C494"/>
    <mergeCell ref="B488:E488"/>
    <mergeCell ref="B491:C491"/>
    <mergeCell ref="E479:F479"/>
    <mergeCell ref="D240:F240"/>
    <mergeCell ref="D237:F237"/>
    <mergeCell ref="D435:F435"/>
    <mergeCell ref="E436:F436"/>
    <mergeCell ref="D335:F335"/>
    <mergeCell ref="D246:F246"/>
    <mergeCell ref="D265:F265"/>
    <mergeCell ref="E268:F268"/>
    <mergeCell ref="E280:F280"/>
    <mergeCell ref="E399:F399"/>
    <mergeCell ref="E271:F271"/>
    <mergeCell ref="D432:F432"/>
    <mergeCell ref="E419:F419"/>
    <mergeCell ref="D295:F295"/>
    <mergeCell ref="D317:F317"/>
    <mergeCell ref="E288:F288"/>
  </mergeCells>
  <phoneticPr fontId="0" type="noConversion"/>
  <conditionalFormatting sqref="C495:C496 C489:C490 C492:C493 G488:G489 C469:C472 G469:G472 I469:I472 G484:G486 C484:C486 H186 H151 E11 G1:G3 G475:G482 C475:C482 I475:I486 C7:C60 I1:I60 G5:G60 G63:G74 I63:I74 C63:C74 C77:C92 I77:I92 C110:C121 G110:G121 G124:G131 C123:C131 I123:I131 I133:I142 C133:C142 G133:G142 G144:G160 C144:C160 I144:I160 I164:I168 C164:C168 G164:G168 G170 C170 I170 G185:G187 C185:C187 I185:I187 G173:G183 C173:C183 I173:I183 I189:I193 C189:C193 G199:G208 C199:C208 I199:I208 C216:C220 C222 I224:I230 C224:C229 C232:C241 I232:I241 I245:I250 G245:G250 C245:C250 C255:C262 G255:G262 I255:I262 I264:I266 G264:G266 C264:C266 C268:C312 I268:I312 G316:G320 I316:I320 C316:C320 I325:I330 G325:G330 C437:C443 C445:C458 G224:G230 G232:G241 C96:C108 I96:I121 G499:G65495 C498:C65495 I488:I65495 G96:G108 G190:G193 G77:G92 G268:G312 C325:C435 I332:I458 G332 G334:G458">
    <cfRule type="cellIs" dxfId="73" priority="85" stopIfTrue="1" operator="equal">
      <formula>"??"</formula>
    </cfRule>
  </conditionalFormatting>
  <conditionalFormatting sqref="G490:G498">
    <cfRule type="cellIs" dxfId="72" priority="86" stopIfTrue="1" operator="equal">
      <formula>"?"</formula>
    </cfRule>
    <cfRule type="cellIs" dxfId="71" priority="87" stopIfTrue="1" operator="equal">
      <formula>"??"</formula>
    </cfRule>
  </conditionalFormatting>
  <conditionalFormatting sqref="I331">
    <cfRule type="cellIs" dxfId="70" priority="84" stopIfTrue="1" operator="equal">
      <formula>"??"</formula>
    </cfRule>
  </conditionalFormatting>
  <conditionalFormatting sqref="G331">
    <cfRule type="cellIs" dxfId="69" priority="83" stopIfTrue="1" operator="equal">
      <formula>"??"</formula>
    </cfRule>
  </conditionalFormatting>
  <conditionalFormatting sqref="C62 I62 G62">
    <cfRule type="cellIs" dxfId="68" priority="81" stopIfTrue="1" operator="equal">
      <formula>"??"</formula>
    </cfRule>
  </conditionalFormatting>
  <conditionalFormatting sqref="C61 I61 G61">
    <cfRule type="cellIs" dxfId="67" priority="80" stopIfTrue="1" operator="equal">
      <formula>"??"</formula>
    </cfRule>
  </conditionalFormatting>
  <conditionalFormatting sqref="G75 I75 C75">
    <cfRule type="cellIs" dxfId="66" priority="79" stopIfTrue="1" operator="equal">
      <formula>"??"</formula>
    </cfRule>
  </conditionalFormatting>
  <conditionalFormatting sqref="G76 I76 C76">
    <cfRule type="cellIs" dxfId="65" priority="78" stopIfTrue="1" operator="equal">
      <formula>"??"</formula>
    </cfRule>
  </conditionalFormatting>
  <conditionalFormatting sqref="C93 I93">
    <cfRule type="cellIs" dxfId="64" priority="77" stopIfTrue="1" operator="equal">
      <formula>"??"</formula>
    </cfRule>
  </conditionalFormatting>
  <conditionalFormatting sqref="C94 I94 G94">
    <cfRule type="cellIs" dxfId="63" priority="76" stopIfTrue="1" operator="equal">
      <formula>"??"</formula>
    </cfRule>
  </conditionalFormatting>
  <conditionalFormatting sqref="C95 I95 G95">
    <cfRule type="cellIs" dxfId="62" priority="75" stopIfTrue="1" operator="equal">
      <formula>"??"</formula>
    </cfRule>
  </conditionalFormatting>
  <conditionalFormatting sqref="G93">
    <cfRule type="cellIs" dxfId="61" priority="74" stopIfTrue="1" operator="equal">
      <formula>"??"</formula>
    </cfRule>
  </conditionalFormatting>
  <conditionalFormatting sqref="G109 C109">
    <cfRule type="cellIs" dxfId="60" priority="73" stopIfTrue="1" operator="equal">
      <formula>"??"</formula>
    </cfRule>
  </conditionalFormatting>
  <conditionalFormatting sqref="C122 I122">
    <cfRule type="cellIs" dxfId="59" priority="72" stopIfTrue="1" operator="equal">
      <formula>"??"</formula>
    </cfRule>
  </conditionalFormatting>
  <conditionalFormatting sqref="G122">
    <cfRule type="cellIs" dxfId="58" priority="71" stopIfTrue="1" operator="equal">
      <formula>"??"</formula>
    </cfRule>
  </conditionalFormatting>
  <conditionalFormatting sqref="G123">
    <cfRule type="cellIs" dxfId="57" priority="70" stopIfTrue="1" operator="equal">
      <formula>"??"</formula>
    </cfRule>
  </conditionalFormatting>
  <conditionalFormatting sqref="G132 C132 I132">
    <cfRule type="cellIs" dxfId="56" priority="69" stopIfTrue="1" operator="equal">
      <formula>"??"</formula>
    </cfRule>
  </conditionalFormatting>
  <conditionalFormatting sqref="G143 C143 I143">
    <cfRule type="cellIs" dxfId="55" priority="68" stopIfTrue="1" operator="equal">
      <formula>"??"</formula>
    </cfRule>
  </conditionalFormatting>
  <conditionalFormatting sqref="G161 C161 I161">
    <cfRule type="cellIs" dxfId="54" priority="67" stopIfTrue="1" operator="equal">
      <formula>"??"</formula>
    </cfRule>
  </conditionalFormatting>
  <conditionalFormatting sqref="C162:C163 I162:I163 G162:G163">
    <cfRule type="cellIs" dxfId="53" priority="66" stopIfTrue="1" operator="equal">
      <formula>"??"</formula>
    </cfRule>
  </conditionalFormatting>
  <conditionalFormatting sqref="I169 C169 G169">
    <cfRule type="cellIs" dxfId="52" priority="65" stopIfTrue="1" operator="equal">
      <formula>"??"</formula>
    </cfRule>
  </conditionalFormatting>
  <conditionalFormatting sqref="G171 C171 I171">
    <cfRule type="cellIs" dxfId="51" priority="64" stopIfTrue="1" operator="equal">
      <formula>"??"</formula>
    </cfRule>
  </conditionalFormatting>
  <conditionalFormatting sqref="G172 C172 I172">
    <cfRule type="cellIs" dxfId="50" priority="63" stopIfTrue="1" operator="equal">
      <formula>"??"</formula>
    </cfRule>
  </conditionalFormatting>
  <conditionalFormatting sqref="I184 C184 G184">
    <cfRule type="cellIs" dxfId="49" priority="62" stopIfTrue="1" operator="equal">
      <formula>"??"</formula>
    </cfRule>
  </conditionalFormatting>
  <conditionalFormatting sqref="I188 C188 G188">
    <cfRule type="cellIs" dxfId="48" priority="61" stopIfTrue="1" operator="equal">
      <formula>"??"</formula>
    </cfRule>
  </conditionalFormatting>
  <conditionalFormatting sqref="I194 C194 G194">
    <cfRule type="cellIs" dxfId="47" priority="60" stopIfTrue="1" operator="equal">
      <formula>"??"</formula>
    </cfRule>
  </conditionalFormatting>
  <conditionalFormatting sqref="G195:G196 C195:C196 I195:I196">
    <cfRule type="cellIs" dxfId="46" priority="59" stopIfTrue="1" operator="equal">
      <formula>"??"</formula>
    </cfRule>
  </conditionalFormatting>
  <conditionalFormatting sqref="G197:G198 C197:C198 I197:I198">
    <cfRule type="cellIs" dxfId="45" priority="58" stopIfTrue="1" operator="equal">
      <formula>"??"</formula>
    </cfRule>
  </conditionalFormatting>
  <conditionalFormatting sqref="G209:G210 C209:C210 I209:I210">
    <cfRule type="cellIs" dxfId="44" priority="57" stopIfTrue="1" operator="equal">
      <formula>"??"</formula>
    </cfRule>
  </conditionalFormatting>
  <conditionalFormatting sqref="G211 C211 I211">
    <cfRule type="cellIs" dxfId="43" priority="56" stopIfTrue="1" operator="equal">
      <formula>"??"</formula>
    </cfRule>
  </conditionalFormatting>
  <conditionalFormatting sqref="G222 I222">
    <cfRule type="cellIs" dxfId="42" priority="55" stopIfTrue="1" operator="equal">
      <formula>"??"</formula>
    </cfRule>
  </conditionalFormatting>
  <conditionalFormatting sqref="G220 I220">
    <cfRule type="cellIs" dxfId="41" priority="54" stopIfTrue="1" operator="equal">
      <formula>"??"</formula>
    </cfRule>
  </conditionalFormatting>
  <conditionalFormatting sqref="G219 I219">
    <cfRule type="cellIs" dxfId="40" priority="53" stopIfTrue="1" operator="equal">
      <formula>"??"</formula>
    </cfRule>
  </conditionalFormatting>
  <conditionalFormatting sqref="G218 I218">
    <cfRule type="cellIs" dxfId="39" priority="52" stopIfTrue="1" operator="equal">
      <formula>"??"</formula>
    </cfRule>
  </conditionalFormatting>
  <conditionalFormatting sqref="G217 I217">
    <cfRule type="cellIs" dxfId="38" priority="51" stopIfTrue="1" operator="equal">
      <formula>"??"</formula>
    </cfRule>
  </conditionalFormatting>
  <conditionalFormatting sqref="G216 I216">
    <cfRule type="cellIs" dxfId="37" priority="50" stopIfTrue="1" operator="equal">
      <formula>"??"</formula>
    </cfRule>
  </conditionalFormatting>
  <conditionalFormatting sqref="G215 C215 I215">
    <cfRule type="cellIs" dxfId="36" priority="49" stopIfTrue="1" operator="equal">
      <formula>"??"</formula>
    </cfRule>
  </conditionalFormatting>
  <conditionalFormatting sqref="G214 C214 I214">
    <cfRule type="cellIs" dxfId="35" priority="48" stopIfTrue="1" operator="equal">
      <formula>"??"</formula>
    </cfRule>
  </conditionalFormatting>
  <conditionalFormatting sqref="G213 C213 I213">
    <cfRule type="cellIs" dxfId="34" priority="47" stopIfTrue="1" operator="equal">
      <formula>"??"</formula>
    </cfRule>
  </conditionalFormatting>
  <conditionalFormatting sqref="G212 C212 I212">
    <cfRule type="cellIs" dxfId="33" priority="46" stopIfTrue="1" operator="equal">
      <formula>"??"</formula>
    </cfRule>
  </conditionalFormatting>
  <conditionalFormatting sqref="G223 I223">
    <cfRule type="cellIs" dxfId="32" priority="42" stopIfTrue="1" operator="equal">
      <formula>"??"</formula>
    </cfRule>
  </conditionalFormatting>
  <conditionalFormatting sqref="C223">
    <cfRule type="cellIs" dxfId="31" priority="41" stopIfTrue="1" operator="equal">
      <formula>"??"</formula>
    </cfRule>
  </conditionalFormatting>
  <conditionalFormatting sqref="G221 I221">
    <cfRule type="cellIs" dxfId="30" priority="40" stopIfTrue="1" operator="equal">
      <formula>"??"</formula>
    </cfRule>
  </conditionalFormatting>
  <conditionalFormatting sqref="C221">
    <cfRule type="cellIs" dxfId="29" priority="39" stopIfTrue="1" operator="equal">
      <formula>"??"</formula>
    </cfRule>
  </conditionalFormatting>
  <conditionalFormatting sqref="I231 C231 G231">
    <cfRule type="cellIs" dxfId="28" priority="36" stopIfTrue="1" operator="equal">
      <formula>"??"</formula>
    </cfRule>
  </conditionalFormatting>
  <conditionalFormatting sqref="C230">
    <cfRule type="cellIs" dxfId="27" priority="34" stopIfTrue="1" operator="equal">
      <formula>"??"</formula>
    </cfRule>
  </conditionalFormatting>
  <conditionalFormatting sqref="G244 C244 I244">
    <cfRule type="cellIs" dxfId="26" priority="33" stopIfTrue="1" operator="equal">
      <formula>"??"</formula>
    </cfRule>
  </conditionalFormatting>
  <conditionalFormatting sqref="C242:C243 I242:I243">
    <cfRule type="cellIs" dxfId="25" priority="32" stopIfTrue="1" operator="equal">
      <formula>"??"</formula>
    </cfRule>
  </conditionalFormatting>
  <conditionalFormatting sqref="I251:I254 G251:G254 C251:C254">
    <cfRule type="cellIs" dxfId="24" priority="31" stopIfTrue="1" operator="equal">
      <formula>"??"</formula>
    </cfRule>
  </conditionalFormatting>
  <conditionalFormatting sqref="C263 G263 I263">
    <cfRule type="cellIs" dxfId="23" priority="30" stopIfTrue="1" operator="equal">
      <formula>"??"</formula>
    </cfRule>
  </conditionalFormatting>
  <conditionalFormatting sqref="I267 G267 C267">
    <cfRule type="cellIs" dxfId="22" priority="29" stopIfTrue="1" operator="equal">
      <formula>"??"</formula>
    </cfRule>
  </conditionalFormatting>
  <conditionalFormatting sqref="C313 I313">
    <cfRule type="cellIs" dxfId="21" priority="28" stopIfTrue="1" operator="equal">
      <formula>"??"</formula>
    </cfRule>
  </conditionalFormatting>
  <conditionalFormatting sqref="C314 I314:I315">
    <cfRule type="cellIs" dxfId="20" priority="27" stopIfTrue="1" operator="equal">
      <formula>"??"</formula>
    </cfRule>
  </conditionalFormatting>
  <conditionalFormatting sqref="G314">
    <cfRule type="cellIs" dxfId="19" priority="26" stopIfTrue="1" operator="equal">
      <formula>"??"</formula>
    </cfRule>
  </conditionalFormatting>
  <conditionalFormatting sqref="G313">
    <cfRule type="cellIs" dxfId="18" priority="25" stopIfTrue="1" operator="equal">
      <formula>"??"</formula>
    </cfRule>
  </conditionalFormatting>
  <conditionalFormatting sqref="C322 I322 G322">
    <cfRule type="cellIs" dxfId="17" priority="24" stopIfTrue="1" operator="equal">
      <formula>"??"</formula>
    </cfRule>
  </conditionalFormatting>
  <conditionalFormatting sqref="C321 I321 G321">
    <cfRule type="cellIs" dxfId="16" priority="23" stopIfTrue="1" operator="equal">
      <formula>"??"</formula>
    </cfRule>
  </conditionalFormatting>
  <conditionalFormatting sqref="C323 I323 G323">
    <cfRule type="cellIs" dxfId="15" priority="22" stopIfTrue="1" operator="equal">
      <formula>"??"</formula>
    </cfRule>
  </conditionalFormatting>
  <conditionalFormatting sqref="C324 I324 G324">
    <cfRule type="cellIs" dxfId="14" priority="21" stopIfTrue="1" operator="equal">
      <formula>"??"</formula>
    </cfRule>
  </conditionalFormatting>
  <conditionalFormatting sqref="G242:G243">
    <cfRule type="cellIs" dxfId="13" priority="19" stopIfTrue="1" operator="equal">
      <formula>"??"</formula>
    </cfRule>
  </conditionalFormatting>
  <conditionalFormatting sqref="C315">
    <cfRule type="cellIs" dxfId="12" priority="5" stopIfTrue="1" operator="equal">
      <formula>"??"</formula>
    </cfRule>
  </conditionalFormatting>
  <conditionalFormatting sqref="G315">
    <cfRule type="cellIs" dxfId="11" priority="4" stopIfTrue="1" operator="equal">
      <formula>"??"</formula>
    </cfRule>
  </conditionalFormatting>
  <conditionalFormatting sqref="G189">
    <cfRule type="cellIs" dxfId="10" priority="3" stopIfTrue="1" operator="equal">
      <formula>"??"</formula>
    </cfRule>
  </conditionalFormatting>
  <conditionalFormatting sqref="G333">
    <cfRule type="cellIs" dxfId="9" priority="2" stopIfTrue="1" operator="equal">
      <formula>"??"</formula>
    </cfRule>
  </conditionalFormatting>
  <conditionalFormatting sqref="H186 H151">
    <cfRule type="cellIs" dxfId="8" priority="1" stopIfTrue="1" operator="equal">
      <formula>"??"</formula>
    </cfRule>
  </conditionalFormatting>
  <dataValidations count="1">
    <dataValidation type="list" allowBlank="1" showInputMessage="1" showErrorMessage="1" sqref="E11">
      <formula1>$M$505:$M$508</formula1>
    </dataValidation>
  </dataValidations>
  <pageMargins left="0.39370078740157483" right="0.35433070866141736" top="1.2204724409448819" bottom="0.43307086614173229" header="0.51181102362204722" footer="0.23622047244094491"/>
  <pageSetup paperSize="9" scale="77" fitToHeight="11" orientation="portrait" r:id="rId1"/>
  <headerFooter alignWithMargins="0">
    <oddHeader>&amp;LESKOM DISTRIBUTION GROUP
Enquiry No.: __________________________
Project Name: __________________________&amp;RPage: &amp;P
Tenderers Name: __________________________
Date: _____/_____/_____
A &amp;&amp; B Schedule - Rev 1</oddHeader>
    <oddFooter>&amp;LUnrestricted</oddFooter>
  </headerFooter>
  <rowBreaks count="3" manualBreakCount="3">
    <brk id="47" min="1" max="7" man="1"/>
    <brk id="172" min="1" max="7" man="1"/>
    <brk id="240" min="1" max="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42"/>
  <sheetViews>
    <sheetView view="pageBreakPreview" zoomScaleNormal="100" workbookViewId="0">
      <selection activeCell="C17" sqref="C17"/>
    </sheetView>
  </sheetViews>
  <sheetFormatPr defaultColWidth="9.109375" defaultRowHeight="13.2" x14ac:dyDescent="0.25"/>
  <cols>
    <col min="1" max="1" width="5.44140625" customWidth="1"/>
    <col min="2" max="2" width="9.33203125" customWidth="1"/>
    <col min="3" max="3" width="81.109375" customWidth="1"/>
  </cols>
  <sheetData>
    <row r="1" spans="1:7" ht="17.399999999999999" thickBot="1" x14ac:dyDescent="0.35">
      <c r="A1" s="284" t="s">
        <v>122</v>
      </c>
      <c r="B1" s="284"/>
      <c r="C1" s="284"/>
      <c r="D1" s="6"/>
      <c r="E1" s="6"/>
      <c r="F1" s="6"/>
      <c r="G1" s="6"/>
    </row>
    <row r="2" spans="1:7" ht="32.25" customHeight="1" thickBot="1" x14ac:dyDescent="0.35">
      <c r="A2" s="206"/>
      <c r="B2" s="206"/>
      <c r="C2" s="206" t="str">
        <f>'Technical Schedule'!E11</f>
        <v>SWITCHGEAR:FP FEEDER(B);11KV;630A</v>
      </c>
      <c r="D2" s="1"/>
      <c r="E2" s="2"/>
      <c r="F2" s="3"/>
      <c r="G2" s="3"/>
    </row>
    <row r="3" spans="1:7" ht="36.75" customHeight="1" thickBot="1" x14ac:dyDescent="0.3">
      <c r="A3" s="285" t="s">
        <v>125</v>
      </c>
      <c r="B3" s="286"/>
      <c r="C3" s="287"/>
      <c r="D3" s="1"/>
      <c r="E3" s="2"/>
      <c r="F3" s="3"/>
      <c r="G3" s="3"/>
    </row>
    <row r="4" spans="1:7" ht="18" customHeight="1" thickBot="1" x14ac:dyDescent="0.3">
      <c r="A4" s="4" t="s">
        <v>126</v>
      </c>
      <c r="B4" s="5" t="s">
        <v>127</v>
      </c>
      <c r="C4" s="5" t="s">
        <v>128</v>
      </c>
    </row>
    <row r="5" spans="1:7" ht="18" customHeight="1" x14ac:dyDescent="0.25">
      <c r="A5" s="213"/>
      <c r="B5" s="213"/>
      <c r="C5" s="225"/>
    </row>
    <row r="6" spans="1:7" ht="18" customHeight="1" x14ac:dyDescent="0.25">
      <c r="A6" s="214"/>
      <c r="B6" s="214"/>
      <c r="C6" s="226"/>
    </row>
    <row r="7" spans="1:7" ht="18" customHeight="1" x14ac:dyDescent="0.25">
      <c r="A7" s="214"/>
      <c r="B7" s="214"/>
      <c r="C7" s="226"/>
    </row>
    <row r="8" spans="1:7" ht="18" customHeight="1" x14ac:dyDescent="0.25">
      <c r="A8" s="214"/>
      <c r="B8" s="214"/>
      <c r="C8" s="214"/>
    </row>
    <row r="9" spans="1:7" ht="18" customHeight="1" x14ac:dyDescent="0.25">
      <c r="A9" s="214"/>
      <c r="B9" s="214"/>
      <c r="C9" s="214"/>
    </row>
    <row r="10" spans="1:7" ht="18" customHeight="1" x14ac:dyDescent="0.25">
      <c r="A10" s="214"/>
      <c r="B10" s="214"/>
      <c r="C10" s="214"/>
    </row>
    <row r="11" spans="1:7" ht="18" customHeight="1" x14ac:dyDescent="0.25">
      <c r="A11" s="214"/>
      <c r="B11" s="214"/>
      <c r="C11" s="214"/>
    </row>
    <row r="12" spans="1:7" ht="18" customHeight="1" x14ac:dyDescent="0.25">
      <c r="A12" s="214"/>
      <c r="B12" s="214"/>
      <c r="C12" s="214"/>
    </row>
    <row r="13" spans="1:7" ht="18" customHeight="1" x14ac:dyDescent="0.25">
      <c r="A13" s="214"/>
      <c r="B13" s="214"/>
      <c r="C13" s="214"/>
    </row>
    <row r="14" spans="1:7" ht="18" customHeight="1" x14ac:dyDescent="0.25">
      <c r="A14" s="214"/>
      <c r="B14" s="214"/>
      <c r="C14" s="225"/>
    </row>
    <row r="15" spans="1:7" ht="18" customHeight="1" x14ac:dyDescent="0.25">
      <c r="A15" s="214"/>
      <c r="B15" s="214"/>
      <c r="C15" s="216"/>
    </row>
    <row r="16" spans="1:7" ht="18" customHeight="1" x14ac:dyDescent="0.25">
      <c r="A16" s="214"/>
      <c r="B16" s="214"/>
      <c r="C16" s="216"/>
    </row>
    <row r="17" spans="1:3" ht="18" customHeight="1" x14ac:dyDescent="0.25">
      <c r="A17" s="214"/>
      <c r="B17" s="214"/>
      <c r="C17" s="214"/>
    </row>
    <row r="18" spans="1:3" ht="18" customHeight="1" x14ac:dyDescent="0.25">
      <c r="A18" s="214"/>
      <c r="B18" s="214"/>
      <c r="C18" s="225"/>
    </row>
    <row r="19" spans="1:3" ht="18" customHeight="1" x14ac:dyDescent="0.25">
      <c r="A19" s="214"/>
      <c r="B19" s="214"/>
      <c r="C19" s="225"/>
    </row>
    <row r="20" spans="1:3" ht="18" customHeight="1" x14ac:dyDescent="0.25">
      <c r="A20" s="214"/>
      <c r="B20" s="214"/>
      <c r="C20" s="214"/>
    </row>
    <row r="21" spans="1:3" ht="18" customHeight="1" x14ac:dyDescent="0.25">
      <c r="A21" s="214"/>
      <c r="B21" s="214"/>
      <c r="C21" s="214"/>
    </row>
    <row r="22" spans="1:3" ht="18" customHeight="1" x14ac:dyDescent="0.25">
      <c r="A22" s="214"/>
      <c r="B22" s="214"/>
      <c r="C22" s="214"/>
    </row>
    <row r="23" spans="1:3" ht="18" customHeight="1" x14ac:dyDescent="0.25">
      <c r="A23" s="214"/>
      <c r="B23" s="214"/>
      <c r="C23" s="226"/>
    </row>
    <row r="24" spans="1:3" ht="18" customHeight="1" x14ac:dyDescent="0.25">
      <c r="A24" s="214"/>
      <c r="B24" s="214"/>
      <c r="C24" s="226"/>
    </row>
    <row r="25" spans="1:3" ht="18" customHeight="1" x14ac:dyDescent="0.25">
      <c r="A25" s="214"/>
      <c r="B25" s="214"/>
      <c r="C25" s="214"/>
    </row>
    <row r="26" spans="1:3" ht="18" customHeight="1" x14ac:dyDescent="0.25">
      <c r="A26" s="214"/>
      <c r="B26" s="214"/>
      <c r="C26" s="214"/>
    </row>
    <row r="27" spans="1:3" ht="18" customHeight="1" x14ac:dyDescent="0.25">
      <c r="A27" s="214"/>
      <c r="B27" s="214"/>
      <c r="C27" s="226"/>
    </row>
    <row r="28" spans="1:3" ht="18" customHeight="1" x14ac:dyDescent="0.25">
      <c r="A28" s="214"/>
      <c r="B28" s="214"/>
      <c r="C28" s="214"/>
    </row>
    <row r="29" spans="1:3" ht="18" customHeight="1" x14ac:dyDescent="0.25">
      <c r="A29" s="214"/>
      <c r="B29" s="214"/>
      <c r="C29" s="226"/>
    </row>
    <row r="30" spans="1:3" ht="18" customHeight="1" x14ac:dyDescent="0.25">
      <c r="A30" s="214"/>
      <c r="B30" s="214"/>
      <c r="C30" s="226"/>
    </row>
    <row r="31" spans="1:3" ht="18" customHeight="1" x14ac:dyDescent="0.25">
      <c r="A31" s="214"/>
      <c r="B31" s="214"/>
      <c r="C31" s="226"/>
    </row>
    <row r="32" spans="1:3" ht="18" customHeight="1" x14ac:dyDescent="0.25">
      <c r="A32" s="214"/>
      <c r="B32" s="214"/>
      <c r="C32" s="226"/>
    </row>
    <row r="33" spans="1:3" ht="18" customHeight="1" x14ac:dyDescent="0.25">
      <c r="A33" s="214"/>
      <c r="B33" s="214"/>
      <c r="C33" s="214"/>
    </row>
    <row r="34" spans="1:3" ht="18" customHeight="1" x14ac:dyDescent="0.25">
      <c r="A34" s="214"/>
      <c r="B34" s="214"/>
      <c r="C34" s="214"/>
    </row>
    <row r="35" spans="1:3" ht="18" customHeight="1" x14ac:dyDescent="0.25">
      <c r="A35" s="214"/>
      <c r="B35" s="214"/>
      <c r="C35" s="214"/>
    </row>
    <row r="36" spans="1:3" ht="18" customHeight="1" x14ac:dyDescent="0.25">
      <c r="A36" s="214"/>
      <c r="B36" s="214"/>
      <c r="C36" s="214"/>
    </row>
    <row r="37" spans="1:3" ht="18" customHeight="1" x14ac:dyDescent="0.25">
      <c r="A37" s="214"/>
      <c r="B37" s="214"/>
      <c r="C37" s="214"/>
    </row>
    <row r="38" spans="1:3" ht="18" customHeight="1" x14ac:dyDescent="0.25">
      <c r="A38" s="214"/>
      <c r="B38" s="214"/>
      <c r="C38" s="214"/>
    </row>
    <row r="39" spans="1:3" ht="18" customHeight="1" x14ac:dyDescent="0.25">
      <c r="A39" s="214"/>
      <c r="B39" s="214"/>
      <c r="C39" s="226"/>
    </row>
    <row r="40" spans="1:3" ht="18" customHeight="1" x14ac:dyDescent="0.25">
      <c r="A40" s="214"/>
      <c r="B40" s="214"/>
      <c r="C40" s="226"/>
    </row>
    <row r="41" spans="1:3" ht="18" customHeight="1" x14ac:dyDescent="0.25">
      <c r="A41" s="214"/>
      <c r="B41" s="214"/>
      <c r="C41" s="226"/>
    </row>
    <row r="42" spans="1:3" ht="13.8" thickBot="1" x14ac:dyDescent="0.3">
      <c r="A42" s="215"/>
      <c r="B42" s="215"/>
      <c r="C42" s="215"/>
    </row>
  </sheetData>
  <sheetProtection password="C650" sheet="1" selectLockedCells="1"/>
  <mergeCells count="2">
    <mergeCell ref="A1:C1"/>
    <mergeCell ref="A3:C3"/>
  </mergeCells>
  <phoneticPr fontId="14" type="noConversion"/>
  <conditionalFormatting sqref="F2:F3">
    <cfRule type="cellIs" dxfId="7" priority="1" stopIfTrue="1" operator="equal">
      <formula>"?"</formula>
    </cfRule>
    <cfRule type="cellIs" dxfId="6" priority="2" stopIfTrue="1" operator="equal">
      <formula>"??"</formula>
    </cfRule>
  </conditionalFormatting>
  <pageMargins left="0.47" right="0.41" top="1.21" bottom="0.39" header="0.5" footer="0.24"/>
  <pageSetup paperSize="9" scale="95" orientation="portrait" r:id="rId1"/>
  <headerFooter alignWithMargins="0">
    <oddHeader>&amp;LESKOM DISTRIBUTION GROUP
Enquiry No.: __________________________
Project Name: __________________________&amp;RPage: &amp;P
Tenderers Name: __________________________
Date: _____/_____/_____
A &amp;&amp; B Schedule - Rev 1</oddHeader>
    <oddFooter>&amp;LUnrestricted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K182"/>
  <sheetViews>
    <sheetView tabSelected="1" view="pageBreakPreview" zoomScale="120" zoomScaleNormal="100" zoomScaleSheetLayoutView="120" workbookViewId="0">
      <selection activeCell="C24" sqref="C24:J24"/>
    </sheetView>
  </sheetViews>
  <sheetFormatPr defaultColWidth="9.109375" defaultRowHeight="13.2" x14ac:dyDescent="0.25"/>
  <cols>
    <col min="1" max="1" width="2.109375" customWidth="1"/>
    <col min="2" max="2" width="6.88671875" style="122" customWidth="1"/>
    <col min="3" max="3" width="10" customWidth="1"/>
    <col min="4" max="4" width="40.88671875" customWidth="1"/>
    <col min="5" max="5" width="12.5546875" customWidth="1"/>
    <col min="6" max="6" width="11.6640625" customWidth="1"/>
    <col min="7" max="8" width="12.33203125" customWidth="1"/>
    <col min="9" max="9" width="13.6640625" customWidth="1"/>
    <col min="10" max="10" width="13.5546875" customWidth="1"/>
  </cols>
  <sheetData>
    <row r="1" spans="2:11" s="15" customFormat="1" ht="17.399999999999999" x14ac:dyDescent="0.25">
      <c r="B1" s="267" t="s">
        <v>19</v>
      </c>
      <c r="C1" s="267"/>
      <c r="D1" s="267"/>
      <c r="E1" s="267"/>
      <c r="F1" s="267"/>
      <c r="G1" s="267"/>
      <c r="H1" s="267"/>
      <c r="I1" s="267"/>
      <c r="J1" s="267"/>
      <c r="K1" s="14"/>
    </row>
    <row r="2" spans="2:11" s="15" customFormat="1" ht="17.399999999999999" x14ac:dyDescent="0.25">
      <c r="B2" s="267" t="s">
        <v>13</v>
      </c>
      <c r="C2" s="267"/>
      <c r="D2" s="267"/>
      <c r="E2" s="267"/>
      <c r="F2" s="267"/>
      <c r="G2" s="267"/>
      <c r="H2" s="267"/>
      <c r="I2" s="267"/>
      <c r="J2" s="267"/>
      <c r="K2" s="14"/>
    </row>
    <row r="3" spans="2:11" s="15" customFormat="1" ht="17.399999999999999" x14ac:dyDescent="0.25">
      <c r="B3" s="267" t="str">
        <f>'Technical Schedule'!B3:H3</f>
        <v>SAP: 0574937   SWITCHGEAR:FP FEEDER(B);11KV;630A</v>
      </c>
      <c r="C3" s="267"/>
      <c r="D3" s="267"/>
      <c r="E3" s="267"/>
      <c r="F3" s="267"/>
      <c r="G3" s="267"/>
      <c r="H3" s="267"/>
      <c r="I3" s="267"/>
      <c r="J3" s="267"/>
      <c r="K3" s="14"/>
    </row>
    <row r="4" spans="2:11" s="21" customFormat="1" ht="13.8" thickBot="1" x14ac:dyDescent="0.3">
      <c r="B4" s="128"/>
      <c r="D4" s="22"/>
      <c r="E4" s="24"/>
      <c r="F4" s="24"/>
      <c r="G4" s="24"/>
      <c r="H4" s="24"/>
      <c r="I4" s="24"/>
      <c r="J4" s="25"/>
      <c r="K4" s="26"/>
    </row>
    <row r="5" spans="2:11" s="21" customFormat="1" ht="13.8" thickBot="1" x14ac:dyDescent="0.3">
      <c r="B5" s="129">
        <v>1</v>
      </c>
      <c r="C5" s="27">
        <v>2</v>
      </c>
      <c r="D5" s="29">
        <v>3</v>
      </c>
      <c r="E5" s="31">
        <v>4</v>
      </c>
      <c r="F5" s="195">
        <v>5</v>
      </c>
      <c r="G5" s="195">
        <v>6</v>
      </c>
      <c r="H5" s="195">
        <v>7</v>
      </c>
      <c r="I5" s="195">
        <v>8</v>
      </c>
      <c r="J5" s="32">
        <v>9</v>
      </c>
      <c r="K5" s="26"/>
    </row>
    <row r="6" spans="2:11" s="41" customFormat="1" ht="32.25" customHeight="1" x14ac:dyDescent="0.25">
      <c r="B6" s="134" t="s">
        <v>181</v>
      </c>
      <c r="C6" s="291" t="s">
        <v>23</v>
      </c>
      <c r="D6" s="292"/>
      <c r="E6" s="292"/>
      <c r="F6" s="292"/>
      <c r="G6" s="292"/>
      <c r="H6" s="292"/>
      <c r="I6" s="292"/>
      <c r="J6" s="293"/>
      <c r="K6" s="14"/>
    </row>
    <row r="7" spans="2:11" s="20" customFormat="1" x14ac:dyDescent="0.25">
      <c r="B7" s="133"/>
      <c r="C7" s="294"/>
      <c r="D7" s="295"/>
      <c r="E7" s="295"/>
      <c r="F7" s="295"/>
      <c r="G7" s="295"/>
      <c r="H7" s="295"/>
      <c r="I7" s="295"/>
      <c r="J7" s="296"/>
      <c r="K7" s="14"/>
    </row>
    <row r="8" spans="2:11" s="20" customFormat="1" x14ac:dyDescent="0.25">
      <c r="B8" s="133"/>
      <c r="C8" s="294"/>
      <c r="D8" s="295"/>
      <c r="E8" s="295"/>
      <c r="F8" s="295"/>
      <c r="G8" s="295"/>
      <c r="H8" s="295"/>
      <c r="I8" s="295"/>
      <c r="J8" s="296"/>
      <c r="K8" s="14"/>
    </row>
    <row r="9" spans="2:11" s="20" customFormat="1" x14ac:dyDescent="0.25">
      <c r="B9" s="133"/>
      <c r="C9" s="294"/>
      <c r="D9" s="295"/>
      <c r="E9" s="295"/>
      <c r="F9" s="295"/>
      <c r="G9" s="295"/>
      <c r="H9" s="295"/>
      <c r="I9" s="295"/>
      <c r="J9" s="296"/>
      <c r="K9" s="14"/>
    </row>
    <row r="10" spans="2:11" s="20" customFormat="1" x14ac:dyDescent="0.25">
      <c r="B10" s="133"/>
      <c r="C10" s="294"/>
      <c r="D10" s="295"/>
      <c r="E10" s="295"/>
      <c r="F10" s="295"/>
      <c r="G10" s="295"/>
      <c r="H10" s="295"/>
      <c r="I10" s="295"/>
      <c r="J10" s="296"/>
      <c r="K10" s="14"/>
    </row>
    <row r="11" spans="2:11" s="20" customFormat="1" x14ac:dyDescent="0.25">
      <c r="B11" s="133"/>
      <c r="C11" s="294"/>
      <c r="D11" s="295"/>
      <c r="E11" s="295"/>
      <c r="F11" s="295"/>
      <c r="G11" s="295"/>
      <c r="H11" s="295"/>
      <c r="I11" s="295"/>
      <c r="J11" s="296"/>
      <c r="K11" s="14"/>
    </row>
    <row r="12" spans="2:11" s="20" customFormat="1" x14ac:dyDescent="0.25">
      <c r="B12" s="133"/>
      <c r="C12" s="294"/>
      <c r="D12" s="295"/>
      <c r="E12" s="295"/>
      <c r="F12" s="295"/>
      <c r="G12" s="295"/>
      <c r="H12" s="295"/>
      <c r="I12" s="295"/>
      <c r="J12" s="296"/>
      <c r="K12" s="14"/>
    </row>
    <row r="13" spans="2:11" s="20" customFormat="1" x14ac:dyDescent="0.25">
      <c r="B13" s="133"/>
      <c r="C13" s="294"/>
      <c r="D13" s="295"/>
      <c r="E13" s="295"/>
      <c r="F13" s="295"/>
      <c r="G13" s="295"/>
      <c r="H13" s="295"/>
      <c r="I13" s="295"/>
      <c r="J13" s="296"/>
      <c r="K13" s="14"/>
    </row>
    <row r="14" spans="2:11" s="20" customFormat="1" x14ac:dyDescent="0.25">
      <c r="B14" s="133"/>
      <c r="C14" s="294"/>
      <c r="D14" s="295"/>
      <c r="E14" s="295"/>
      <c r="F14" s="295"/>
      <c r="G14" s="295"/>
      <c r="H14" s="295"/>
      <c r="I14" s="295"/>
      <c r="J14" s="296"/>
      <c r="K14" s="14"/>
    </row>
    <row r="15" spans="2:11" s="20" customFormat="1" x14ac:dyDescent="0.25">
      <c r="B15" s="133"/>
      <c r="C15" s="294"/>
      <c r="D15" s="295"/>
      <c r="E15" s="295"/>
      <c r="F15" s="295"/>
      <c r="G15" s="295"/>
      <c r="H15" s="295"/>
      <c r="I15" s="295"/>
      <c r="J15" s="296"/>
      <c r="K15" s="14"/>
    </row>
    <row r="16" spans="2:11" s="20" customFormat="1" x14ac:dyDescent="0.25">
      <c r="B16" s="133"/>
      <c r="C16" s="294"/>
      <c r="D16" s="295"/>
      <c r="E16" s="295"/>
      <c r="F16" s="295"/>
      <c r="G16" s="295"/>
      <c r="H16" s="295"/>
      <c r="I16" s="295"/>
      <c r="J16" s="296"/>
      <c r="K16" s="14"/>
    </row>
    <row r="17" spans="2:11" s="20" customFormat="1" x14ac:dyDescent="0.25">
      <c r="B17" s="133"/>
      <c r="C17" s="294"/>
      <c r="D17" s="295"/>
      <c r="E17" s="295"/>
      <c r="F17" s="295"/>
      <c r="G17" s="295"/>
      <c r="H17" s="295"/>
      <c r="I17" s="295"/>
      <c r="J17" s="296"/>
      <c r="K17" s="14"/>
    </row>
    <row r="18" spans="2:11" s="20" customFormat="1" x14ac:dyDescent="0.25">
      <c r="B18" s="133"/>
      <c r="C18" s="294"/>
      <c r="D18" s="295"/>
      <c r="E18" s="295"/>
      <c r="F18" s="295"/>
      <c r="G18" s="295"/>
      <c r="H18" s="295"/>
      <c r="I18" s="295"/>
      <c r="J18" s="296"/>
      <c r="K18" s="14"/>
    </row>
    <row r="19" spans="2:11" s="20" customFormat="1" x14ac:dyDescent="0.25">
      <c r="B19" s="133"/>
      <c r="C19" s="294"/>
      <c r="D19" s="295"/>
      <c r="E19" s="295"/>
      <c r="F19" s="295"/>
      <c r="G19" s="295"/>
      <c r="H19" s="295"/>
      <c r="I19" s="295"/>
      <c r="J19" s="296"/>
      <c r="K19" s="14"/>
    </row>
    <row r="20" spans="2:11" s="20" customFormat="1" x14ac:dyDescent="0.25">
      <c r="B20" s="133"/>
      <c r="C20" s="294"/>
      <c r="D20" s="295"/>
      <c r="E20" s="295"/>
      <c r="F20" s="295"/>
      <c r="G20" s="295"/>
      <c r="H20" s="295"/>
      <c r="I20" s="295"/>
      <c r="J20" s="296"/>
      <c r="K20" s="14"/>
    </row>
    <row r="21" spans="2:11" s="41" customFormat="1" ht="15.6" x14ac:dyDescent="0.25">
      <c r="B21" s="134" t="s">
        <v>22</v>
      </c>
      <c r="C21" s="291" t="s">
        <v>828</v>
      </c>
      <c r="D21" s="292"/>
      <c r="E21" s="292"/>
      <c r="F21" s="292"/>
      <c r="G21" s="292"/>
      <c r="H21" s="292"/>
      <c r="I21" s="292"/>
      <c r="J21" s="293"/>
      <c r="K21" s="14"/>
    </row>
    <row r="22" spans="2:11" s="20" customFormat="1" ht="12.75" customHeight="1" x14ac:dyDescent="0.25">
      <c r="B22" s="133"/>
      <c r="C22" s="288"/>
      <c r="D22" s="289"/>
      <c r="E22" s="289"/>
      <c r="F22" s="289"/>
      <c r="G22" s="289"/>
      <c r="H22" s="289"/>
      <c r="I22" s="289"/>
      <c r="J22" s="290"/>
      <c r="K22" s="14"/>
    </row>
    <row r="23" spans="2:11" s="20" customFormat="1" ht="12.75" customHeight="1" x14ac:dyDescent="0.25">
      <c r="B23" s="133"/>
      <c r="C23" s="288"/>
      <c r="D23" s="289"/>
      <c r="E23" s="289"/>
      <c r="F23" s="289"/>
      <c r="G23" s="289"/>
      <c r="H23" s="289"/>
      <c r="I23" s="289"/>
      <c r="J23" s="290"/>
      <c r="K23" s="14"/>
    </row>
    <row r="24" spans="2:11" s="20" customFormat="1" x14ac:dyDescent="0.25">
      <c r="B24" s="133"/>
      <c r="C24" s="288"/>
      <c r="D24" s="289"/>
      <c r="E24" s="289"/>
      <c r="F24" s="289"/>
      <c r="G24" s="289"/>
      <c r="H24" s="289"/>
      <c r="I24" s="289"/>
      <c r="J24" s="290"/>
      <c r="K24" s="14"/>
    </row>
    <row r="25" spans="2:11" s="20" customFormat="1" x14ac:dyDescent="0.25">
      <c r="B25" s="133"/>
      <c r="C25" s="288"/>
      <c r="D25" s="289"/>
      <c r="E25" s="289"/>
      <c r="F25" s="289"/>
      <c r="G25" s="289"/>
      <c r="H25" s="289"/>
      <c r="I25" s="289"/>
      <c r="J25" s="290"/>
      <c r="K25" s="14"/>
    </row>
    <row r="26" spans="2:11" s="20" customFormat="1" x14ac:dyDescent="0.25">
      <c r="B26" s="133"/>
      <c r="C26" s="288"/>
      <c r="D26" s="289"/>
      <c r="E26" s="289"/>
      <c r="F26" s="289"/>
      <c r="G26" s="289"/>
      <c r="H26" s="289"/>
      <c r="I26" s="289"/>
      <c r="J26" s="290"/>
      <c r="K26" s="14"/>
    </row>
    <row r="27" spans="2:11" s="20" customFormat="1" x14ac:dyDescent="0.25">
      <c r="B27" s="133"/>
      <c r="C27" s="288"/>
      <c r="D27" s="289"/>
      <c r="E27" s="289"/>
      <c r="F27" s="289"/>
      <c r="G27" s="289"/>
      <c r="H27" s="289"/>
      <c r="I27" s="289"/>
      <c r="J27" s="290"/>
      <c r="K27" s="14"/>
    </row>
    <row r="28" spans="2:11" s="20" customFormat="1" x14ac:dyDescent="0.25">
      <c r="B28" s="133"/>
      <c r="C28" s="288"/>
      <c r="D28" s="289"/>
      <c r="E28" s="289"/>
      <c r="F28" s="289"/>
      <c r="G28" s="289"/>
      <c r="H28" s="289"/>
      <c r="I28" s="289"/>
      <c r="J28" s="290"/>
      <c r="K28" s="14"/>
    </row>
    <row r="29" spans="2:11" s="20" customFormat="1" x14ac:dyDescent="0.25">
      <c r="B29" s="133"/>
      <c r="C29" s="288"/>
      <c r="D29" s="289"/>
      <c r="E29" s="289"/>
      <c r="F29" s="289"/>
      <c r="G29" s="289"/>
      <c r="H29" s="289"/>
      <c r="I29" s="289"/>
      <c r="J29" s="290"/>
      <c r="K29" s="14"/>
    </row>
    <row r="30" spans="2:11" s="20" customFormat="1" x14ac:dyDescent="0.25">
      <c r="B30" s="133"/>
      <c r="C30" s="288"/>
      <c r="D30" s="289"/>
      <c r="E30" s="289"/>
      <c r="F30" s="289"/>
      <c r="G30" s="289"/>
      <c r="H30" s="289"/>
      <c r="I30" s="289"/>
      <c r="J30" s="290"/>
      <c r="K30" s="14"/>
    </row>
    <row r="31" spans="2:11" s="41" customFormat="1" ht="32.25" customHeight="1" x14ac:dyDescent="0.25">
      <c r="B31" s="134" t="s">
        <v>21</v>
      </c>
      <c r="C31" s="291" t="s">
        <v>829</v>
      </c>
      <c r="D31" s="292"/>
      <c r="E31" s="292"/>
      <c r="F31" s="292"/>
      <c r="G31" s="292"/>
      <c r="H31" s="292"/>
      <c r="I31" s="292"/>
      <c r="J31" s="293"/>
      <c r="K31" s="14"/>
    </row>
    <row r="32" spans="2:11" s="20" customFormat="1" ht="12.75" customHeight="1" x14ac:dyDescent="0.25">
      <c r="B32" s="133"/>
      <c r="C32" s="288"/>
      <c r="D32" s="289"/>
      <c r="E32" s="289"/>
      <c r="F32" s="289"/>
      <c r="G32" s="289"/>
      <c r="H32" s="289"/>
      <c r="I32" s="289"/>
      <c r="J32" s="290"/>
      <c r="K32" s="14"/>
    </row>
    <row r="33" spans="2:11" s="20" customFormat="1" x14ac:dyDescent="0.25">
      <c r="B33" s="133"/>
      <c r="C33" s="288"/>
      <c r="D33" s="289"/>
      <c r="E33" s="289"/>
      <c r="F33" s="289"/>
      <c r="G33" s="289"/>
      <c r="H33" s="289"/>
      <c r="I33" s="289"/>
      <c r="J33" s="290"/>
      <c r="K33" s="14"/>
    </row>
    <row r="34" spans="2:11" s="20" customFormat="1" x14ac:dyDescent="0.25">
      <c r="B34" s="133"/>
      <c r="C34" s="248"/>
      <c r="D34" s="249"/>
      <c r="E34" s="249"/>
      <c r="F34" s="249"/>
      <c r="G34" s="249"/>
      <c r="H34" s="249"/>
      <c r="I34" s="249"/>
      <c r="J34" s="247"/>
      <c r="K34" s="14"/>
    </row>
    <row r="35" spans="2:11" s="20" customFormat="1" x14ac:dyDescent="0.25">
      <c r="B35" s="133"/>
      <c r="C35" s="288"/>
      <c r="D35" s="289"/>
      <c r="E35" s="289"/>
      <c r="F35" s="289"/>
      <c r="G35" s="289"/>
      <c r="H35" s="289"/>
      <c r="I35" s="289"/>
      <c r="J35" s="290"/>
      <c r="K35" s="14"/>
    </row>
    <row r="36" spans="2:11" s="20" customFormat="1" x14ac:dyDescent="0.25">
      <c r="B36" s="133"/>
      <c r="C36" s="288"/>
      <c r="D36" s="289"/>
      <c r="E36" s="289"/>
      <c r="F36" s="289"/>
      <c r="G36" s="289"/>
      <c r="H36" s="289"/>
      <c r="I36" s="289"/>
      <c r="J36" s="290"/>
      <c r="K36" s="14"/>
    </row>
    <row r="37" spans="2:11" s="20" customFormat="1" x14ac:dyDescent="0.25">
      <c r="B37" s="133"/>
      <c r="C37" s="288"/>
      <c r="D37" s="289"/>
      <c r="E37" s="289"/>
      <c r="F37" s="289"/>
      <c r="G37" s="289"/>
      <c r="H37" s="289"/>
      <c r="I37" s="289"/>
      <c r="J37" s="290"/>
      <c r="K37" s="14"/>
    </row>
    <row r="38" spans="2:11" s="20" customFormat="1" x14ac:dyDescent="0.25">
      <c r="B38" s="133"/>
      <c r="C38" s="288"/>
      <c r="D38" s="289"/>
      <c r="E38" s="289"/>
      <c r="F38" s="289"/>
      <c r="G38" s="289"/>
      <c r="H38" s="289"/>
      <c r="I38" s="289"/>
      <c r="J38" s="290"/>
      <c r="K38" s="14"/>
    </row>
    <row r="39" spans="2:11" s="20" customFormat="1" x14ac:dyDescent="0.25">
      <c r="B39" s="133"/>
      <c r="C39" s="288"/>
      <c r="D39" s="289"/>
      <c r="E39" s="289"/>
      <c r="F39" s="289"/>
      <c r="G39" s="289"/>
      <c r="H39" s="289"/>
      <c r="I39" s="289"/>
      <c r="J39" s="290"/>
      <c r="K39" s="14"/>
    </row>
    <row r="40" spans="2:11" s="20" customFormat="1" x14ac:dyDescent="0.25">
      <c r="B40" s="133"/>
      <c r="C40" s="288"/>
      <c r="D40" s="289"/>
      <c r="E40" s="289"/>
      <c r="F40" s="289"/>
      <c r="G40" s="289"/>
      <c r="H40" s="289"/>
      <c r="I40" s="289"/>
      <c r="J40" s="290"/>
      <c r="K40" s="14"/>
    </row>
    <row r="41" spans="2:11" s="41" customFormat="1" ht="31.5" customHeight="1" x14ac:dyDescent="0.25">
      <c r="B41" s="134" t="s">
        <v>12</v>
      </c>
      <c r="C41" s="291" t="s">
        <v>832</v>
      </c>
      <c r="D41" s="292"/>
      <c r="E41" s="292"/>
      <c r="F41" s="292"/>
      <c r="G41" s="292"/>
      <c r="H41" s="292"/>
      <c r="I41" s="292"/>
      <c r="J41" s="293"/>
      <c r="K41" s="14"/>
    </row>
    <row r="42" spans="2:11" s="20" customFormat="1" ht="39.6" x14ac:dyDescent="0.25">
      <c r="B42" s="133"/>
      <c r="C42" s="89" t="s">
        <v>147</v>
      </c>
      <c r="D42" s="90" t="s">
        <v>109</v>
      </c>
      <c r="E42" s="91" t="s">
        <v>176</v>
      </c>
      <c r="F42" s="301" t="s">
        <v>175</v>
      </c>
      <c r="G42" s="302"/>
      <c r="H42" s="302"/>
      <c r="I42" s="302"/>
      <c r="J42" s="303"/>
      <c r="K42" s="14"/>
    </row>
    <row r="43" spans="2:11" s="20" customFormat="1" x14ac:dyDescent="0.25">
      <c r="B43" s="133"/>
      <c r="C43" s="94"/>
      <c r="D43" s="246"/>
      <c r="E43" s="94"/>
      <c r="F43" s="196"/>
      <c r="G43" s="196"/>
      <c r="H43" s="196"/>
      <c r="I43" s="196"/>
      <c r="J43" s="95"/>
      <c r="K43" s="14"/>
    </row>
    <row r="44" spans="2:11" s="20" customFormat="1" x14ac:dyDescent="0.25">
      <c r="B44" s="133"/>
      <c r="C44" s="96"/>
      <c r="D44" s="101"/>
      <c r="E44" s="96"/>
      <c r="F44" s="188"/>
      <c r="G44" s="188"/>
      <c r="H44" s="188"/>
      <c r="I44" s="188"/>
      <c r="J44" s="97"/>
      <c r="K44" s="14"/>
    </row>
    <row r="45" spans="2:11" s="20" customFormat="1" x14ac:dyDescent="0.25">
      <c r="B45" s="133"/>
      <c r="C45" s="96"/>
      <c r="D45" s="101"/>
      <c r="E45" s="96"/>
      <c r="F45" s="188"/>
      <c r="G45" s="188"/>
      <c r="H45" s="188"/>
      <c r="I45" s="188"/>
      <c r="J45" s="97"/>
      <c r="K45" s="14"/>
    </row>
    <row r="46" spans="2:11" s="20" customFormat="1" x14ac:dyDescent="0.25">
      <c r="B46" s="133"/>
      <c r="C46" s="98"/>
      <c r="D46" s="101"/>
      <c r="E46" s="98"/>
      <c r="F46" s="197"/>
      <c r="G46" s="197"/>
      <c r="H46" s="197"/>
      <c r="I46" s="197"/>
      <c r="J46" s="99"/>
      <c r="K46" s="14"/>
    </row>
    <row r="47" spans="2:11" s="20" customFormat="1" x14ac:dyDescent="0.25">
      <c r="B47" s="133"/>
      <c r="C47" s="98"/>
      <c r="D47" s="101"/>
      <c r="E47" s="98"/>
      <c r="F47" s="197"/>
      <c r="G47" s="197"/>
      <c r="H47" s="197"/>
      <c r="I47" s="197"/>
      <c r="J47" s="99"/>
      <c r="K47" s="14"/>
    </row>
    <row r="48" spans="2:11" s="20" customFormat="1" x14ac:dyDescent="0.25">
      <c r="B48" s="133"/>
      <c r="C48" s="98"/>
      <c r="D48" s="101"/>
      <c r="E48" s="98"/>
      <c r="F48" s="197"/>
      <c r="G48" s="197"/>
      <c r="H48" s="197"/>
      <c r="I48" s="197"/>
      <c r="J48" s="99"/>
      <c r="K48" s="14"/>
    </row>
    <row r="49" spans="2:11" s="20" customFormat="1" x14ac:dyDescent="0.25">
      <c r="B49" s="133"/>
      <c r="C49" s="98"/>
      <c r="D49" s="101"/>
      <c r="E49" s="98"/>
      <c r="F49" s="197"/>
      <c r="G49" s="197"/>
      <c r="H49" s="197"/>
      <c r="I49" s="197"/>
      <c r="J49" s="99"/>
      <c r="K49" s="14"/>
    </row>
    <row r="50" spans="2:11" s="20" customFormat="1" x14ac:dyDescent="0.25">
      <c r="B50" s="133"/>
      <c r="C50" s="98"/>
      <c r="D50" s="101"/>
      <c r="E50" s="98"/>
      <c r="F50" s="197"/>
      <c r="G50" s="197"/>
      <c r="H50" s="197"/>
      <c r="I50" s="197"/>
      <c r="J50" s="99"/>
      <c r="K50" s="14"/>
    </row>
    <row r="51" spans="2:11" s="20" customFormat="1" x14ac:dyDescent="0.25">
      <c r="B51" s="133"/>
      <c r="C51" s="98"/>
      <c r="D51" s="101"/>
      <c r="E51" s="98"/>
      <c r="F51" s="197"/>
      <c r="G51" s="197"/>
      <c r="H51" s="197"/>
      <c r="I51" s="197"/>
      <c r="J51" s="99"/>
      <c r="K51" s="14"/>
    </row>
    <row r="52" spans="2:11" s="20" customFormat="1" x14ac:dyDescent="0.25">
      <c r="B52" s="133"/>
      <c r="C52" s="98"/>
      <c r="D52" s="101"/>
      <c r="E52" s="98"/>
      <c r="F52" s="197"/>
      <c r="G52" s="197"/>
      <c r="H52" s="197"/>
      <c r="I52" s="197"/>
      <c r="J52" s="99"/>
      <c r="K52" s="14"/>
    </row>
    <row r="53" spans="2:11" s="20" customFormat="1" x14ac:dyDescent="0.25">
      <c r="B53" s="133"/>
      <c r="C53" s="98"/>
      <c r="D53" s="101"/>
      <c r="E53" s="98"/>
      <c r="F53" s="197"/>
      <c r="G53" s="197"/>
      <c r="H53" s="197"/>
      <c r="I53" s="197"/>
      <c r="J53" s="99"/>
      <c r="K53" s="14"/>
    </row>
    <row r="54" spans="2:11" s="20" customFormat="1" x14ac:dyDescent="0.25">
      <c r="B54" s="133"/>
      <c r="C54" s="98"/>
      <c r="D54" s="101"/>
      <c r="E54" s="98"/>
      <c r="F54" s="197"/>
      <c r="G54" s="197"/>
      <c r="H54" s="197"/>
      <c r="I54" s="197"/>
      <c r="J54" s="99"/>
      <c r="K54" s="14"/>
    </row>
    <row r="55" spans="2:11" s="20" customFormat="1" x14ac:dyDescent="0.25">
      <c r="B55" s="133"/>
      <c r="C55" s="100"/>
      <c r="D55" s="102"/>
      <c r="E55" s="100"/>
      <c r="F55" s="304"/>
      <c r="G55" s="305"/>
      <c r="H55" s="305"/>
      <c r="I55" s="305"/>
      <c r="J55" s="306"/>
      <c r="K55" s="14"/>
    </row>
    <row r="56" spans="2:11" s="41" customFormat="1" ht="31.5" customHeight="1" x14ac:dyDescent="0.25">
      <c r="B56" s="134" t="s">
        <v>11</v>
      </c>
      <c r="C56" s="291" t="s">
        <v>830</v>
      </c>
      <c r="D56" s="292"/>
      <c r="E56" s="292"/>
      <c r="F56" s="292"/>
      <c r="G56" s="292"/>
      <c r="H56" s="292"/>
      <c r="I56" s="292"/>
      <c r="J56" s="293"/>
      <c r="K56" s="14"/>
    </row>
    <row r="57" spans="2:11" s="20" customFormat="1" ht="39.6" x14ac:dyDescent="0.25">
      <c r="B57" s="133"/>
      <c r="C57" s="89" t="s">
        <v>147</v>
      </c>
      <c r="D57" s="90" t="s">
        <v>109</v>
      </c>
      <c r="E57" s="91" t="s">
        <v>176</v>
      </c>
      <c r="F57" s="301" t="s">
        <v>175</v>
      </c>
      <c r="G57" s="302"/>
      <c r="H57" s="302"/>
      <c r="I57" s="302"/>
      <c r="J57" s="303"/>
      <c r="K57" s="14"/>
    </row>
    <row r="58" spans="2:11" s="20" customFormat="1" x14ac:dyDescent="0.25">
      <c r="B58" s="133"/>
      <c r="C58" s="236"/>
      <c r="D58" s="241"/>
      <c r="E58" s="236"/>
      <c r="F58" s="243"/>
      <c r="G58" s="243"/>
      <c r="H58" s="243"/>
      <c r="I58" s="243"/>
      <c r="J58" s="237"/>
      <c r="K58" s="14"/>
    </row>
    <row r="59" spans="2:11" s="20" customFormat="1" x14ac:dyDescent="0.25">
      <c r="B59" s="133"/>
      <c r="C59" s="238"/>
      <c r="D59" s="240"/>
      <c r="E59" s="238"/>
      <c r="F59" s="242"/>
      <c r="G59" s="242"/>
      <c r="H59" s="242"/>
      <c r="I59" s="242"/>
      <c r="J59" s="237"/>
      <c r="K59" s="14"/>
    </row>
    <row r="60" spans="2:11" s="20" customFormat="1" x14ac:dyDescent="0.25">
      <c r="B60" s="133"/>
      <c r="C60" s="238"/>
      <c r="D60" s="240"/>
      <c r="E60" s="238"/>
      <c r="F60" s="242"/>
      <c r="G60" s="242"/>
      <c r="H60" s="242"/>
      <c r="I60" s="242"/>
      <c r="J60" s="237"/>
      <c r="K60" s="14"/>
    </row>
    <row r="61" spans="2:11" s="20" customFormat="1" x14ac:dyDescent="0.25">
      <c r="B61" s="133"/>
      <c r="C61" s="239"/>
      <c r="D61" s="240"/>
      <c r="E61" s="238"/>
      <c r="F61" s="244"/>
      <c r="G61" s="244"/>
      <c r="H61" s="244"/>
      <c r="I61" s="244"/>
      <c r="J61" s="237"/>
      <c r="K61" s="14"/>
    </row>
    <row r="62" spans="2:11" s="20" customFormat="1" x14ac:dyDescent="0.25">
      <c r="B62" s="133"/>
      <c r="C62" s="239"/>
      <c r="D62" s="240"/>
      <c r="E62" s="238"/>
      <c r="F62" s="244"/>
      <c r="G62" s="244"/>
      <c r="H62" s="244"/>
      <c r="I62" s="244"/>
      <c r="J62" s="237"/>
      <c r="K62" s="14"/>
    </row>
    <row r="63" spans="2:11" s="20" customFormat="1" x14ac:dyDescent="0.25">
      <c r="B63" s="133"/>
      <c r="C63" s="98"/>
      <c r="D63" s="101"/>
      <c r="E63" s="98"/>
      <c r="F63" s="197"/>
      <c r="G63" s="197"/>
      <c r="H63" s="197"/>
      <c r="I63" s="197"/>
      <c r="J63" s="99"/>
      <c r="K63" s="14"/>
    </row>
    <row r="64" spans="2:11" s="20" customFormat="1" x14ac:dyDescent="0.25">
      <c r="B64" s="133"/>
      <c r="C64" s="98"/>
      <c r="D64" s="101"/>
      <c r="E64" s="98"/>
      <c r="F64" s="197"/>
      <c r="G64" s="197"/>
      <c r="H64" s="197"/>
      <c r="I64" s="197"/>
      <c r="J64" s="99"/>
      <c r="K64" s="14"/>
    </row>
    <row r="65" spans="2:11" s="20" customFormat="1" x14ac:dyDescent="0.25">
      <c r="B65" s="133"/>
      <c r="C65" s="98"/>
      <c r="D65" s="101"/>
      <c r="E65" s="98"/>
      <c r="F65" s="197"/>
      <c r="G65" s="197"/>
      <c r="H65" s="197"/>
      <c r="I65" s="197"/>
      <c r="J65" s="99"/>
      <c r="K65" s="14"/>
    </row>
    <row r="66" spans="2:11" s="20" customFormat="1" x14ac:dyDescent="0.25">
      <c r="B66" s="133"/>
      <c r="C66" s="98"/>
      <c r="D66" s="101"/>
      <c r="E66" s="98"/>
      <c r="F66" s="197"/>
      <c r="G66" s="197"/>
      <c r="H66" s="197"/>
      <c r="I66" s="197"/>
      <c r="J66" s="99"/>
      <c r="K66" s="14"/>
    </row>
    <row r="67" spans="2:11" s="20" customFormat="1" x14ac:dyDescent="0.25">
      <c r="B67" s="133"/>
      <c r="C67" s="98"/>
      <c r="D67" s="101"/>
      <c r="E67" s="98"/>
      <c r="F67" s="197"/>
      <c r="G67" s="197"/>
      <c r="H67" s="197"/>
      <c r="I67" s="197"/>
      <c r="J67" s="99"/>
      <c r="K67" s="14"/>
    </row>
    <row r="68" spans="2:11" s="20" customFormat="1" x14ac:dyDescent="0.25">
      <c r="B68" s="133"/>
      <c r="C68" s="98"/>
      <c r="D68" s="101"/>
      <c r="E68" s="98"/>
      <c r="F68" s="197"/>
      <c r="G68" s="197"/>
      <c r="H68" s="197"/>
      <c r="I68" s="197"/>
      <c r="J68" s="99"/>
      <c r="K68" s="14"/>
    </row>
    <row r="69" spans="2:11" s="20" customFormat="1" x14ac:dyDescent="0.25">
      <c r="B69" s="133"/>
      <c r="C69" s="98"/>
      <c r="D69" s="101"/>
      <c r="E69" s="98"/>
      <c r="F69" s="197"/>
      <c r="G69" s="197"/>
      <c r="H69" s="197"/>
      <c r="I69" s="197"/>
      <c r="J69" s="99"/>
      <c r="K69" s="14"/>
    </row>
    <row r="70" spans="2:11" s="20" customFormat="1" x14ac:dyDescent="0.25">
      <c r="B70" s="133"/>
      <c r="C70" s="100"/>
      <c r="D70" s="102"/>
      <c r="E70" s="100"/>
      <c r="F70" s="304"/>
      <c r="G70" s="305"/>
      <c r="H70" s="305"/>
      <c r="I70" s="305"/>
      <c r="J70" s="306"/>
      <c r="K70" s="14"/>
    </row>
    <row r="71" spans="2:11" s="41" customFormat="1" ht="31.5" customHeight="1" x14ac:dyDescent="0.25">
      <c r="B71" s="134" t="s">
        <v>833</v>
      </c>
      <c r="C71" s="291" t="s">
        <v>831</v>
      </c>
      <c r="D71" s="292"/>
      <c r="E71" s="292"/>
      <c r="F71" s="292"/>
      <c r="G71" s="292"/>
      <c r="H71" s="292"/>
      <c r="I71" s="292"/>
      <c r="J71" s="293"/>
      <c r="K71" s="14"/>
    </row>
    <row r="72" spans="2:11" s="20" customFormat="1" ht="39.6" x14ac:dyDescent="0.25">
      <c r="B72" s="133"/>
      <c r="C72" s="89" t="s">
        <v>147</v>
      </c>
      <c r="D72" s="90" t="s">
        <v>109</v>
      </c>
      <c r="E72" s="91" t="s">
        <v>176</v>
      </c>
      <c r="F72" s="301" t="s">
        <v>175</v>
      </c>
      <c r="G72" s="302"/>
      <c r="H72" s="302"/>
      <c r="I72" s="302"/>
      <c r="J72" s="303"/>
      <c r="K72" s="14"/>
    </row>
    <row r="73" spans="2:11" s="20" customFormat="1" x14ac:dyDescent="0.25">
      <c r="B73" s="133"/>
      <c r="C73" s="94"/>
      <c r="D73" s="245"/>
      <c r="E73" s="94"/>
      <c r="F73" s="196"/>
      <c r="G73" s="196"/>
      <c r="H73" s="196"/>
      <c r="I73" s="196"/>
      <c r="J73" s="95"/>
      <c r="K73" s="14"/>
    </row>
    <row r="74" spans="2:11" s="20" customFormat="1" x14ac:dyDescent="0.25">
      <c r="B74" s="133"/>
      <c r="C74" s="96"/>
      <c r="D74" s="101"/>
      <c r="E74" s="96"/>
      <c r="F74" s="188"/>
      <c r="G74" s="188"/>
      <c r="H74" s="188"/>
      <c r="I74" s="188"/>
      <c r="J74" s="97"/>
      <c r="K74" s="14"/>
    </row>
    <row r="75" spans="2:11" s="20" customFormat="1" x14ac:dyDescent="0.25">
      <c r="B75" s="133"/>
      <c r="C75" s="96"/>
      <c r="D75" s="101"/>
      <c r="E75" s="96"/>
      <c r="F75" s="188"/>
      <c r="G75" s="188"/>
      <c r="H75" s="188"/>
      <c r="I75" s="188"/>
      <c r="J75" s="97"/>
      <c r="K75" s="14"/>
    </row>
    <row r="76" spans="2:11" s="20" customFormat="1" x14ac:dyDescent="0.25">
      <c r="B76" s="133"/>
      <c r="C76" s="98"/>
      <c r="D76" s="101"/>
      <c r="E76" s="98"/>
      <c r="F76" s="197"/>
      <c r="G76" s="197"/>
      <c r="H76" s="197"/>
      <c r="I76" s="197"/>
      <c r="J76" s="99"/>
      <c r="K76" s="14"/>
    </row>
    <row r="77" spans="2:11" s="20" customFormat="1" x14ac:dyDescent="0.25">
      <c r="B77" s="133"/>
      <c r="C77" s="98"/>
      <c r="D77" s="101"/>
      <c r="E77" s="98"/>
      <c r="F77" s="197"/>
      <c r="G77" s="197"/>
      <c r="H77" s="197"/>
      <c r="I77" s="197"/>
      <c r="J77" s="99"/>
      <c r="K77" s="14"/>
    </row>
    <row r="78" spans="2:11" s="20" customFormat="1" x14ac:dyDescent="0.25">
      <c r="B78" s="133"/>
      <c r="C78" s="98"/>
      <c r="D78" s="101"/>
      <c r="E78" s="98"/>
      <c r="F78" s="197"/>
      <c r="G78" s="197"/>
      <c r="H78" s="197"/>
      <c r="I78" s="197"/>
      <c r="J78" s="99"/>
      <c r="K78" s="14"/>
    </row>
    <row r="79" spans="2:11" s="20" customFormat="1" x14ac:dyDescent="0.25">
      <c r="B79" s="133"/>
      <c r="C79" s="98"/>
      <c r="D79" s="101"/>
      <c r="E79" s="98"/>
      <c r="F79" s="197"/>
      <c r="G79" s="197"/>
      <c r="H79" s="197"/>
      <c r="I79" s="197"/>
      <c r="J79" s="99"/>
      <c r="K79" s="14"/>
    </row>
    <row r="80" spans="2:11" s="20" customFormat="1" x14ac:dyDescent="0.25">
      <c r="B80" s="133"/>
      <c r="C80" s="98"/>
      <c r="D80" s="101"/>
      <c r="E80" s="98"/>
      <c r="F80" s="197"/>
      <c r="G80" s="197"/>
      <c r="H80" s="197"/>
      <c r="I80" s="197"/>
      <c r="J80" s="99"/>
      <c r="K80" s="14"/>
    </row>
    <row r="81" spans="2:11" s="20" customFormat="1" x14ac:dyDescent="0.25">
      <c r="B81" s="133"/>
      <c r="C81" s="98"/>
      <c r="D81" s="101"/>
      <c r="E81" s="98"/>
      <c r="F81" s="197"/>
      <c r="G81" s="197"/>
      <c r="H81" s="197"/>
      <c r="I81" s="197"/>
      <c r="J81" s="99"/>
      <c r="K81" s="14"/>
    </row>
    <row r="82" spans="2:11" s="20" customFormat="1" x14ac:dyDescent="0.25">
      <c r="B82" s="133"/>
      <c r="C82" s="98"/>
      <c r="D82" s="101"/>
      <c r="E82" s="98"/>
      <c r="F82" s="197"/>
      <c r="G82" s="197"/>
      <c r="H82" s="197"/>
      <c r="I82" s="197"/>
      <c r="J82" s="99"/>
      <c r="K82" s="14"/>
    </row>
    <row r="83" spans="2:11" s="20" customFormat="1" x14ac:dyDescent="0.25">
      <c r="B83" s="133"/>
      <c r="C83" s="98"/>
      <c r="D83" s="101"/>
      <c r="E83" s="98"/>
      <c r="F83" s="197"/>
      <c r="G83" s="197"/>
      <c r="H83" s="197"/>
      <c r="I83" s="197"/>
      <c r="J83" s="99"/>
      <c r="K83" s="14"/>
    </row>
    <row r="84" spans="2:11" s="20" customFormat="1" x14ac:dyDescent="0.25">
      <c r="B84" s="133"/>
      <c r="C84" s="98"/>
      <c r="D84" s="101"/>
      <c r="E84" s="98"/>
      <c r="F84" s="197"/>
      <c r="G84" s="197"/>
      <c r="H84" s="197"/>
      <c r="I84" s="197"/>
      <c r="J84" s="99"/>
      <c r="K84" s="14"/>
    </row>
    <row r="85" spans="2:11" s="20" customFormat="1" x14ac:dyDescent="0.25">
      <c r="B85" s="133"/>
      <c r="C85" s="100"/>
      <c r="D85" s="102"/>
      <c r="E85" s="100"/>
      <c r="F85" s="304"/>
      <c r="G85" s="305"/>
      <c r="H85" s="305"/>
      <c r="I85" s="305"/>
      <c r="J85" s="306"/>
      <c r="K85" s="14"/>
    </row>
    <row r="86" spans="2:11" s="41" customFormat="1" ht="31.5" customHeight="1" x14ac:dyDescent="0.25">
      <c r="B86" s="134" t="s">
        <v>834</v>
      </c>
      <c r="C86" s="291" t="s">
        <v>24</v>
      </c>
      <c r="D86" s="292"/>
      <c r="E86" s="292"/>
      <c r="F86" s="292"/>
      <c r="G86" s="292"/>
      <c r="H86" s="292"/>
      <c r="I86" s="292"/>
      <c r="J86" s="293"/>
      <c r="K86" s="14"/>
    </row>
    <row r="87" spans="2:11" s="20" customFormat="1" ht="39.6" x14ac:dyDescent="0.25">
      <c r="B87" s="133"/>
      <c r="C87" s="89" t="s">
        <v>147</v>
      </c>
      <c r="D87" s="90" t="s">
        <v>109</v>
      </c>
      <c r="E87" s="91" t="s">
        <v>176</v>
      </c>
      <c r="F87" s="301" t="s">
        <v>175</v>
      </c>
      <c r="G87" s="302"/>
      <c r="H87" s="302"/>
      <c r="I87" s="302"/>
      <c r="J87" s="303"/>
      <c r="K87" s="14"/>
    </row>
    <row r="88" spans="2:11" s="20" customFormat="1" x14ac:dyDescent="0.25">
      <c r="B88" s="133"/>
      <c r="C88" s="227"/>
      <c r="D88" s="232"/>
      <c r="E88" s="227"/>
      <c r="F88" s="234"/>
      <c r="G88" s="234"/>
      <c r="H88" s="234"/>
      <c r="I88" s="234"/>
      <c r="J88" s="228"/>
      <c r="K88" s="14"/>
    </row>
    <row r="89" spans="2:11" s="20" customFormat="1" x14ac:dyDescent="0.25">
      <c r="B89" s="133"/>
      <c r="C89" s="229"/>
      <c r="D89" s="231"/>
      <c r="E89" s="229"/>
      <c r="F89" s="233"/>
      <c r="G89" s="233"/>
      <c r="H89" s="233"/>
      <c r="I89" s="233"/>
      <c r="J89" s="228"/>
      <c r="K89" s="14"/>
    </row>
    <row r="90" spans="2:11" s="20" customFormat="1" x14ac:dyDescent="0.25">
      <c r="B90" s="133"/>
      <c r="C90" s="229"/>
      <c r="D90" s="231"/>
      <c r="E90" s="229"/>
      <c r="F90" s="233"/>
      <c r="G90" s="233"/>
      <c r="H90" s="233"/>
      <c r="I90" s="233"/>
      <c r="J90" s="228"/>
      <c r="K90" s="14"/>
    </row>
    <row r="91" spans="2:11" s="20" customFormat="1" x14ac:dyDescent="0.25">
      <c r="B91" s="133"/>
      <c r="C91" s="230"/>
      <c r="D91" s="231"/>
      <c r="E91" s="229"/>
      <c r="F91" s="235"/>
      <c r="G91" s="235"/>
      <c r="H91" s="235"/>
      <c r="I91" s="235"/>
      <c r="J91" s="228"/>
      <c r="K91" s="14"/>
    </row>
    <row r="92" spans="2:11" s="20" customFormat="1" x14ac:dyDescent="0.25">
      <c r="B92" s="133"/>
      <c r="C92" s="230"/>
      <c r="D92" s="231"/>
      <c r="E92" s="229"/>
      <c r="F92" s="235"/>
      <c r="G92" s="235"/>
      <c r="H92" s="235"/>
      <c r="I92" s="235"/>
      <c r="J92" s="228"/>
      <c r="K92" s="14"/>
    </row>
    <row r="93" spans="2:11" s="20" customFormat="1" x14ac:dyDescent="0.25">
      <c r="B93" s="133"/>
      <c r="C93" s="98"/>
      <c r="D93" s="101"/>
      <c r="E93" s="98"/>
      <c r="F93" s="197"/>
      <c r="G93" s="197"/>
      <c r="H93" s="197"/>
      <c r="I93" s="197"/>
      <c r="J93" s="99"/>
      <c r="K93" s="14"/>
    </row>
    <row r="94" spans="2:11" s="20" customFormat="1" x14ac:dyDescent="0.25">
      <c r="B94" s="133"/>
      <c r="C94" s="98"/>
      <c r="D94" s="101"/>
      <c r="E94" s="98"/>
      <c r="F94" s="197"/>
      <c r="G94" s="197"/>
      <c r="H94" s="197"/>
      <c r="I94" s="197"/>
      <c r="J94" s="99"/>
      <c r="K94" s="14"/>
    </row>
    <row r="95" spans="2:11" s="20" customFormat="1" x14ac:dyDescent="0.25">
      <c r="B95" s="133"/>
      <c r="C95" s="98"/>
      <c r="D95" s="101"/>
      <c r="E95" s="98"/>
      <c r="F95" s="197"/>
      <c r="G95" s="197"/>
      <c r="H95" s="197"/>
      <c r="I95" s="197"/>
      <c r="J95" s="99"/>
      <c r="K95" s="14"/>
    </row>
    <row r="96" spans="2:11" s="20" customFormat="1" x14ac:dyDescent="0.25">
      <c r="B96" s="133"/>
      <c r="C96" s="98"/>
      <c r="D96" s="101"/>
      <c r="E96" s="98"/>
      <c r="F96" s="197"/>
      <c r="G96" s="197"/>
      <c r="H96" s="197"/>
      <c r="I96" s="197"/>
      <c r="J96" s="99"/>
      <c r="K96" s="14"/>
    </row>
    <row r="97" spans="2:11" s="20" customFormat="1" x14ac:dyDescent="0.25">
      <c r="B97" s="133"/>
      <c r="C97" s="98"/>
      <c r="D97" s="101"/>
      <c r="E97" s="98"/>
      <c r="F97" s="197"/>
      <c r="G97" s="197"/>
      <c r="H97" s="197"/>
      <c r="I97" s="197"/>
      <c r="J97" s="99"/>
      <c r="K97" s="14"/>
    </row>
    <row r="98" spans="2:11" s="20" customFormat="1" x14ac:dyDescent="0.25">
      <c r="B98" s="133"/>
      <c r="C98" s="98"/>
      <c r="D98" s="101"/>
      <c r="E98" s="98"/>
      <c r="F98" s="197"/>
      <c r="G98" s="197"/>
      <c r="H98" s="197"/>
      <c r="I98" s="197"/>
      <c r="J98" s="99"/>
      <c r="K98" s="14"/>
    </row>
    <row r="99" spans="2:11" s="20" customFormat="1" x14ac:dyDescent="0.25">
      <c r="B99" s="133"/>
      <c r="C99" s="98"/>
      <c r="D99" s="101"/>
      <c r="E99" s="98"/>
      <c r="F99" s="197"/>
      <c r="G99" s="197"/>
      <c r="H99" s="197"/>
      <c r="I99" s="197"/>
      <c r="J99" s="99"/>
      <c r="K99" s="14"/>
    </row>
    <row r="100" spans="2:11" s="20" customFormat="1" x14ac:dyDescent="0.25">
      <c r="B100" s="133"/>
      <c r="C100" s="98"/>
      <c r="D100" s="101"/>
      <c r="E100" s="98"/>
      <c r="F100" s="197"/>
      <c r="G100" s="197"/>
      <c r="H100" s="197"/>
      <c r="I100" s="197"/>
      <c r="J100" s="99"/>
      <c r="K100" s="14"/>
    </row>
    <row r="101" spans="2:11" s="20" customFormat="1" x14ac:dyDescent="0.25">
      <c r="B101" s="133"/>
      <c r="C101" s="98"/>
      <c r="D101" s="101"/>
      <c r="E101" s="98"/>
      <c r="F101" s="197"/>
      <c r="G101" s="197"/>
      <c r="H101" s="197"/>
      <c r="I101" s="197"/>
      <c r="J101" s="99"/>
      <c r="K101" s="14"/>
    </row>
    <row r="102" spans="2:11" s="20" customFormat="1" x14ac:dyDescent="0.25">
      <c r="B102" s="133"/>
      <c r="C102" s="98"/>
      <c r="D102" s="101"/>
      <c r="E102" s="98"/>
      <c r="F102" s="197"/>
      <c r="G102" s="197"/>
      <c r="H102" s="197"/>
      <c r="I102" s="197"/>
      <c r="J102" s="99"/>
      <c r="K102" s="14"/>
    </row>
    <row r="103" spans="2:11" s="20" customFormat="1" x14ac:dyDescent="0.25">
      <c r="B103" s="133"/>
      <c r="C103" s="98"/>
      <c r="D103" s="101"/>
      <c r="E103" s="98"/>
      <c r="F103" s="197"/>
      <c r="G103" s="197"/>
      <c r="H103" s="197"/>
      <c r="I103" s="197"/>
      <c r="J103" s="99"/>
      <c r="K103" s="14"/>
    </row>
    <row r="104" spans="2:11" s="20" customFormat="1" x14ac:dyDescent="0.25">
      <c r="B104" s="133"/>
      <c r="C104" s="98"/>
      <c r="D104" s="101"/>
      <c r="E104" s="98"/>
      <c r="F104" s="197"/>
      <c r="G104" s="197"/>
      <c r="H104" s="197"/>
      <c r="I104" s="197"/>
      <c r="J104" s="99"/>
      <c r="K104" s="14"/>
    </row>
    <row r="105" spans="2:11" s="20" customFormat="1" x14ac:dyDescent="0.25">
      <c r="B105" s="133"/>
      <c r="C105" s="98"/>
      <c r="D105" s="101"/>
      <c r="E105" s="98"/>
      <c r="F105" s="197"/>
      <c r="G105" s="197"/>
      <c r="H105" s="197"/>
      <c r="I105" s="197"/>
      <c r="J105" s="99"/>
      <c r="K105" s="14"/>
    </row>
    <row r="106" spans="2:11" s="20" customFormat="1" x14ac:dyDescent="0.25">
      <c r="B106" s="133"/>
      <c r="C106" s="98"/>
      <c r="D106" s="101"/>
      <c r="E106" s="98"/>
      <c r="F106" s="197"/>
      <c r="G106" s="197"/>
      <c r="H106" s="197"/>
      <c r="I106" s="197"/>
      <c r="J106" s="99"/>
      <c r="K106" s="14"/>
    </row>
    <row r="107" spans="2:11" s="20" customFormat="1" x14ac:dyDescent="0.25">
      <c r="B107" s="133"/>
      <c r="C107" s="98"/>
      <c r="D107" s="101"/>
      <c r="E107" s="98"/>
      <c r="F107" s="197"/>
      <c r="G107" s="197"/>
      <c r="H107" s="197"/>
      <c r="I107" s="197"/>
      <c r="J107" s="99"/>
      <c r="K107" s="14"/>
    </row>
    <row r="108" spans="2:11" s="20" customFormat="1" x14ac:dyDescent="0.25">
      <c r="B108" s="133"/>
      <c r="C108" s="98"/>
      <c r="D108" s="101"/>
      <c r="E108" s="98"/>
      <c r="F108" s="197"/>
      <c r="G108" s="197"/>
      <c r="H108" s="197"/>
      <c r="I108" s="197"/>
      <c r="J108" s="99"/>
      <c r="K108" s="14"/>
    </row>
    <row r="109" spans="2:11" s="20" customFormat="1" x14ac:dyDescent="0.25">
      <c r="B109" s="133"/>
      <c r="C109" s="98"/>
      <c r="D109" s="101"/>
      <c r="E109" s="98"/>
      <c r="F109" s="197"/>
      <c r="G109" s="197"/>
      <c r="H109" s="197"/>
      <c r="I109" s="197"/>
      <c r="J109" s="99"/>
      <c r="K109" s="14"/>
    </row>
    <row r="110" spans="2:11" s="20" customFormat="1" x14ac:dyDescent="0.25">
      <c r="B110" s="133"/>
      <c r="C110" s="98"/>
      <c r="D110" s="101"/>
      <c r="E110" s="98"/>
      <c r="F110" s="197"/>
      <c r="G110" s="197"/>
      <c r="H110" s="197"/>
      <c r="I110" s="197"/>
      <c r="J110" s="99"/>
      <c r="K110" s="14"/>
    </row>
    <row r="111" spans="2:11" s="20" customFormat="1" x14ac:dyDescent="0.25">
      <c r="B111" s="133"/>
      <c r="C111" s="98"/>
      <c r="D111" s="101"/>
      <c r="E111" s="98"/>
      <c r="F111" s="197"/>
      <c r="G111" s="197"/>
      <c r="H111" s="197"/>
      <c r="I111" s="197"/>
      <c r="J111" s="99"/>
      <c r="K111" s="14"/>
    </row>
    <row r="112" spans="2:11" s="20" customFormat="1" x14ac:dyDescent="0.25">
      <c r="B112" s="133"/>
      <c r="C112" s="98"/>
      <c r="D112" s="101"/>
      <c r="E112" s="98"/>
      <c r="F112" s="197"/>
      <c r="G112" s="197"/>
      <c r="H112" s="197"/>
      <c r="I112" s="197"/>
      <c r="J112" s="99"/>
      <c r="K112" s="14"/>
    </row>
    <row r="113" spans="2:11" s="20" customFormat="1" x14ac:dyDescent="0.25">
      <c r="B113" s="133"/>
      <c r="C113" s="98"/>
      <c r="D113" s="101"/>
      <c r="E113" s="98"/>
      <c r="F113" s="197"/>
      <c r="G113" s="197"/>
      <c r="H113" s="197"/>
      <c r="I113" s="197"/>
      <c r="J113" s="99"/>
      <c r="K113" s="14"/>
    </row>
    <row r="114" spans="2:11" s="20" customFormat="1" x14ac:dyDescent="0.25">
      <c r="B114" s="133"/>
      <c r="C114" s="98"/>
      <c r="D114" s="101"/>
      <c r="E114" s="98"/>
      <c r="F114" s="197"/>
      <c r="G114" s="197"/>
      <c r="H114" s="197"/>
      <c r="I114" s="197"/>
      <c r="J114" s="99"/>
      <c r="K114" s="14"/>
    </row>
    <row r="115" spans="2:11" s="20" customFormat="1" x14ac:dyDescent="0.25">
      <c r="B115" s="133"/>
      <c r="C115" s="100"/>
      <c r="D115" s="102"/>
      <c r="E115" s="100"/>
      <c r="F115" s="304"/>
      <c r="G115" s="305"/>
      <c r="H115" s="305"/>
      <c r="I115" s="305"/>
      <c r="J115" s="306"/>
      <c r="K115" s="14"/>
    </row>
    <row r="116" spans="2:11" s="20" customFormat="1" x14ac:dyDescent="0.25">
      <c r="B116" s="133"/>
      <c r="C116" s="118"/>
      <c r="E116" s="119"/>
      <c r="F116" s="13"/>
      <c r="G116" s="13"/>
      <c r="H116" s="13"/>
      <c r="I116" s="13"/>
      <c r="J116" s="163"/>
      <c r="K116" s="14"/>
    </row>
    <row r="117" spans="2:11" s="109" customFormat="1" ht="158.4" x14ac:dyDescent="0.25">
      <c r="B117" s="166" t="s">
        <v>183</v>
      </c>
      <c r="C117" s="184" t="s">
        <v>182</v>
      </c>
      <c r="D117" s="185"/>
      <c r="E117" s="186" t="s">
        <v>1209</v>
      </c>
      <c r="F117" s="186" t="s">
        <v>1207</v>
      </c>
      <c r="G117" s="186" t="s">
        <v>1208</v>
      </c>
      <c r="H117" s="186" t="s">
        <v>1205</v>
      </c>
      <c r="I117" s="186" t="s">
        <v>1206</v>
      </c>
      <c r="J117" s="186" t="s">
        <v>1315</v>
      </c>
    </row>
    <row r="118" spans="2:11" s="106" customFormat="1" ht="21.75" customHeight="1" x14ac:dyDescent="0.25">
      <c r="B118" s="167">
        <v>4.0999999999999996</v>
      </c>
      <c r="C118" s="108"/>
      <c r="D118" s="115" t="s">
        <v>919</v>
      </c>
      <c r="E118" s="250"/>
      <c r="F118" s="218"/>
      <c r="G118" s="218"/>
      <c r="H118" s="218"/>
      <c r="I118" s="218"/>
      <c r="J118" s="251"/>
    </row>
    <row r="119" spans="2:11" s="106" customFormat="1" ht="26.4" x14ac:dyDescent="0.25">
      <c r="B119" s="168" t="s">
        <v>330</v>
      </c>
      <c r="C119" s="107"/>
      <c r="D119" s="105" t="s">
        <v>920</v>
      </c>
      <c r="E119" s="250"/>
      <c r="F119" s="218"/>
      <c r="G119" s="218"/>
      <c r="H119" s="218"/>
      <c r="I119" s="218"/>
      <c r="J119" s="251"/>
    </row>
    <row r="120" spans="2:11" s="106" customFormat="1" ht="39.6" x14ac:dyDescent="0.25">
      <c r="B120" s="168" t="s">
        <v>331</v>
      </c>
      <c r="C120" s="107"/>
      <c r="D120" s="115" t="s">
        <v>1282</v>
      </c>
      <c r="E120" s="250"/>
      <c r="F120" s="218"/>
      <c r="G120" s="218"/>
      <c r="H120" s="218"/>
      <c r="I120" s="218"/>
      <c r="J120" s="251"/>
    </row>
    <row r="121" spans="2:11" s="106" customFormat="1" ht="26.4" x14ac:dyDescent="0.25">
      <c r="B121" s="168" t="s">
        <v>333</v>
      </c>
      <c r="C121" s="107"/>
      <c r="D121" s="115" t="s">
        <v>17</v>
      </c>
      <c r="E121" s="250"/>
      <c r="F121" s="218"/>
      <c r="G121" s="218"/>
      <c r="H121" s="218"/>
      <c r="I121" s="218"/>
      <c r="J121" s="251"/>
    </row>
    <row r="122" spans="2:11" s="106" customFormat="1" ht="26.4" x14ac:dyDescent="0.25">
      <c r="B122" s="168" t="s">
        <v>334</v>
      </c>
      <c r="C122" s="107"/>
      <c r="D122" s="115" t="s">
        <v>18</v>
      </c>
      <c r="E122" s="250"/>
      <c r="F122" s="218"/>
      <c r="G122" s="218"/>
      <c r="H122" s="218"/>
      <c r="I122" s="218"/>
      <c r="J122" s="251"/>
    </row>
    <row r="123" spans="2:11" s="106" customFormat="1" x14ac:dyDescent="0.25">
      <c r="B123" s="168"/>
      <c r="C123" s="107"/>
      <c r="D123" s="117"/>
      <c r="E123" s="110"/>
      <c r="F123" s="199"/>
      <c r="G123" s="199"/>
      <c r="H123" s="199"/>
      <c r="I123" s="199"/>
      <c r="J123" s="111"/>
    </row>
    <row r="124" spans="2:11" s="109" customFormat="1" ht="132" x14ac:dyDescent="0.25">
      <c r="B124" s="169" t="s">
        <v>918</v>
      </c>
      <c r="C124" s="299" t="s">
        <v>1286</v>
      </c>
      <c r="D124" s="300"/>
      <c r="E124" s="186" t="s">
        <v>184</v>
      </c>
      <c r="F124" s="186" t="s">
        <v>1201</v>
      </c>
      <c r="G124" s="186" t="s">
        <v>1202</v>
      </c>
      <c r="H124" s="186" t="s">
        <v>1203</v>
      </c>
      <c r="I124" s="186" t="s">
        <v>1204</v>
      </c>
      <c r="J124" s="186" t="s">
        <v>1316</v>
      </c>
    </row>
    <row r="125" spans="2:11" s="106" customFormat="1" x14ac:dyDescent="0.25">
      <c r="B125" s="168">
        <v>5.0999999999999996</v>
      </c>
      <c r="C125" s="107" t="s">
        <v>1178</v>
      </c>
      <c r="D125" s="171" t="s">
        <v>921</v>
      </c>
      <c r="E125" s="198"/>
      <c r="F125" s="198"/>
      <c r="G125" s="198"/>
      <c r="H125" s="198"/>
      <c r="I125" s="198"/>
      <c r="J125" s="165"/>
    </row>
    <row r="126" spans="2:11" s="106" customFormat="1" ht="26.4" x14ac:dyDescent="0.25">
      <c r="B126" s="168">
        <v>5.2</v>
      </c>
      <c r="C126" s="107" t="s">
        <v>1179</v>
      </c>
      <c r="D126" s="171" t="s">
        <v>922</v>
      </c>
      <c r="E126" s="198"/>
      <c r="F126" s="224"/>
      <c r="G126" s="224"/>
      <c r="H126" s="224"/>
      <c r="I126" s="224"/>
      <c r="J126" s="164"/>
    </row>
    <row r="127" spans="2:11" s="106" customFormat="1" ht="28.5" customHeight="1" x14ac:dyDescent="0.25">
      <c r="B127" s="168">
        <v>5.3</v>
      </c>
      <c r="C127" s="107" t="s">
        <v>1180</v>
      </c>
      <c r="D127" s="171" t="s">
        <v>923</v>
      </c>
      <c r="E127" s="198"/>
      <c r="F127" s="223"/>
      <c r="G127" s="223"/>
      <c r="H127" s="223"/>
      <c r="I127" s="223"/>
      <c r="J127" s="164"/>
    </row>
    <row r="128" spans="2:11" s="106" customFormat="1" ht="26.4" x14ac:dyDescent="0.25">
      <c r="B128" s="168">
        <v>5.4</v>
      </c>
      <c r="C128" s="107" t="s">
        <v>1181</v>
      </c>
      <c r="D128" s="171" t="s">
        <v>1</v>
      </c>
      <c r="E128" s="198"/>
      <c r="F128" s="222"/>
      <c r="G128" s="222"/>
      <c r="H128" s="222"/>
      <c r="I128" s="222"/>
      <c r="J128" s="164"/>
    </row>
    <row r="129" spans="2:10" s="106" customFormat="1" ht="39.6" x14ac:dyDescent="0.25">
      <c r="B129" s="168">
        <v>5.5</v>
      </c>
      <c r="C129" s="107" t="s">
        <v>1182</v>
      </c>
      <c r="D129" s="171" t="s">
        <v>824</v>
      </c>
      <c r="E129" s="198"/>
      <c r="F129" s="220"/>
      <c r="G129" s="221"/>
      <c r="H129" s="221"/>
      <c r="I129" s="220"/>
      <c r="J129" s="164"/>
    </row>
    <row r="130" spans="2:10" s="106" customFormat="1" ht="26.4" x14ac:dyDescent="0.25">
      <c r="B130" s="168" t="s">
        <v>343</v>
      </c>
      <c r="C130" s="107" t="s">
        <v>1183</v>
      </c>
      <c r="D130" s="171" t="s">
        <v>697</v>
      </c>
      <c r="E130" s="198"/>
      <c r="F130" s="198"/>
      <c r="G130" s="198"/>
      <c r="H130" s="198"/>
      <c r="I130" s="198"/>
      <c r="J130" s="164"/>
    </row>
    <row r="131" spans="2:10" s="106" customFormat="1" ht="26.4" x14ac:dyDescent="0.25">
      <c r="B131" s="168" t="s">
        <v>344</v>
      </c>
      <c r="C131" s="107" t="s">
        <v>1184</v>
      </c>
      <c r="D131" s="171" t="s">
        <v>698</v>
      </c>
      <c r="E131" s="198"/>
      <c r="F131" s="198"/>
      <c r="G131" s="198"/>
      <c r="H131" s="198"/>
      <c r="I131" s="198"/>
      <c r="J131" s="164"/>
    </row>
    <row r="132" spans="2:10" s="106" customFormat="1" ht="39.6" x14ac:dyDescent="0.25">
      <c r="B132" s="168" t="s">
        <v>395</v>
      </c>
      <c r="C132" s="107" t="s">
        <v>1185</v>
      </c>
      <c r="D132" s="171" t="s">
        <v>699</v>
      </c>
      <c r="E132" s="198"/>
      <c r="F132" s="198"/>
      <c r="G132" s="198"/>
      <c r="H132" s="198"/>
      <c r="I132" s="198"/>
      <c r="J132" s="164"/>
    </row>
    <row r="133" spans="2:10" s="106" customFormat="1" ht="39.6" x14ac:dyDescent="0.25">
      <c r="B133" s="168" t="s">
        <v>437</v>
      </c>
      <c r="C133" s="107" t="s">
        <v>1186</v>
      </c>
      <c r="D133" s="171" t="s">
        <v>700</v>
      </c>
      <c r="E133" s="198"/>
      <c r="F133" s="198"/>
      <c r="G133" s="198"/>
      <c r="H133" s="198"/>
      <c r="I133" s="198"/>
      <c r="J133" s="164"/>
    </row>
    <row r="134" spans="2:10" s="106" customFormat="1" ht="26.4" x14ac:dyDescent="0.25">
      <c r="B134" s="168" t="s">
        <v>472</v>
      </c>
      <c r="C134" s="107" t="s">
        <v>1187</v>
      </c>
      <c r="D134" s="171" t="s">
        <v>701</v>
      </c>
      <c r="E134" s="198"/>
      <c r="F134" s="198"/>
      <c r="G134" s="198"/>
      <c r="H134" s="198"/>
      <c r="I134" s="198"/>
      <c r="J134" s="164"/>
    </row>
    <row r="135" spans="2:10" s="106" customFormat="1" ht="39.75" customHeight="1" x14ac:dyDescent="0.25">
      <c r="B135" s="168" t="s">
        <v>482</v>
      </c>
      <c r="C135" s="107" t="s">
        <v>1188</v>
      </c>
      <c r="D135" s="171" t="s">
        <v>2</v>
      </c>
      <c r="E135" s="198"/>
      <c r="F135" s="198"/>
      <c r="G135" s="198"/>
      <c r="H135" s="198"/>
      <c r="I135" s="198"/>
      <c r="J135" s="164"/>
    </row>
    <row r="136" spans="2:10" s="106" customFormat="1" ht="40.5" customHeight="1" x14ac:dyDescent="0.25">
      <c r="B136" s="168" t="s">
        <v>562</v>
      </c>
      <c r="C136" s="107" t="s">
        <v>1189</v>
      </c>
      <c r="D136" s="171" t="s">
        <v>702</v>
      </c>
      <c r="E136" s="198"/>
      <c r="F136" s="198"/>
      <c r="G136" s="198"/>
      <c r="H136" s="198"/>
      <c r="I136" s="198"/>
      <c r="J136" s="164"/>
    </row>
    <row r="137" spans="2:10" s="106" customFormat="1" ht="39.6" x14ac:dyDescent="0.25">
      <c r="B137" s="168" t="s">
        <v>84</v>
      </c>
      <c r="C137" s="107" t="s">
        <v>1190</v>
      </c>
      <c r="D137" s="171" t="s">
        <v>703</v>
      </c>
      <c r="E137" s="198"/>
      <c r="F137" s="198"/>
      <c r="G137" s="219"/>
      <c r="H137" s="219"/>
      <c r="I137" s="217"/>
      <c r="J137" s="164"/>
    </row>
    <row r="138" spans="2:10" s="106" customFormat="1" ht="39.6" x14ac:dyDescent="0.25">
      <c r="B138" s="168" t="s">
        <v>102</v>
      </c>
      <c r="C138" s="107" t="s">
        <v>1191</v>
      </c>
      <c r="D138" s="171" t="s">
        <v>1121</v>
      </c>
      <c r="E138" s="198"/>
      <c r="F138" s="198"/>
      <c r="G138" s="198"/>
      <c r="H138" s="198"/>
      <c r="I138" s="198"/>
      <c r="J138" s="164"/>
    </row>
    <row r="139" spans="2:10" s="106" customFormat="1" ht="26.4" x14ac:dyDescent="0.25">
      <c r="B139" s="168" t="s">
        <v>568</v>
      </c>
      <c r="C139" s="107" t="s">
        <v>1192</v>
      </c>
      <c r="D139" s="171" t="s">
        <v>3</v>
      </c>
      <c r="E139" s="198"/>
      <c r="F139" s="218"/>
      <c r="G139" s="198"/>
      <c r="H139" s="198"/>
      <c r="I139" s="198"/>
      <c r="J139" s="164"/>
    </row>
    <row r="140" spans="2:10" s="106" customFormat="1" ht="39.6" x14ac:dyDescent="0.25">
      <c r="B140" s="168" t="s">
        <v>578</v>
      </c>
      <c r="C140" s="107" t="s">
        <v>1193</v>
      </c>
      <c r="D140" s="171" t="s">
        <v>4</v>
      </c>
      <c r="E140" s="198"/>
      <c r="F140" s="218"/>
      <c r="G140" s="198"/>
      <c r="H140" s="198"/>
      <c r="I140" s="198"/>
      <c r="J140" s="164"/>
    </row>
    <row r="141" spans="2:10" s="106" customFormat="1" ht="26.4" x14ac:dyDescent="0.25">
      <c r="B141" s="168" t="s">
        <v>598</v>
      </c>
      <c r="C141" s="107" t="s">
        <v>1194</v>
      </c>
      <c r="D141" s="171" t="s">
        <v>5</v>
      </c>
      <c r="E141" s="198"/>
      <c r="F141" s="198"/>
      <c r="G141" s="198"/>
      <c r="H141" s="198"/>
      <c r="I141" s="198"/>
      <c r="J141" s="164"/>
    </row>
    <row r="142" spans="2:10" s="106" customFormat="1" x14ac:dyDescent="0.25">
      <c r="B142" s="168" t="s">
        <v>652</v>
      </c>
      <c r="C142" s="107" t="s">
        <v>1195</v>
      </c>
      <c r="D142" s="171" t="s">
        <v>704</v>
      </c>
      <c r="E142" s="198"/>
      <c r="F142" s="198"/>
      <c r="G142" s="198"/>
      <c r="H142" s="198"/>
      <c r="I142" s="198"/>
      <c r="J142" s="164"/>
    </row>
    <row r="143" spans="2:10" s="106" customFormat="1" ht="26.4" x14ac:dyDescent="0.25">
      <c r="B143" s="168" t="s">
        <v>678</v>
      </c>
      <c r="C143" s="107" t="s">
        <v>1196</v>
      </c>
      <c r="D143" s="171" t="s">
        <v>6</v>
      </c>
      <c r="E143" s="198"/>
      <c r="F143" s="198"/>
      <c r="G143" s="198"/>
      <c r="H143" s="198"/>
      <c r="I143" s="198"/>
      <c r="J143" s="164"/>
    </row>
    <row r="144" spans="2:10" s="106" customFormat="1" ht="52.8" x14ac:dyDescent="0.25">
      <c r="B144" s="168" t="s">
        <v>722</v>
      </c>
      <c r="C144" s="107" t="s">
        <v>1197</v>
      </c>
      <c r="D144" s="171" t="s">
        <v>1283</v>
      </c>
      <c r="E144" s="198"/>
      <c r="F144" s="218"/>
      <c r="G144" s="217"/>
      <c r="H144" s="217"/>
      <c r="I144" s="218"/>
      <c r="J144" s="164"/>
    </row>
    <row r="145" spans="2:10" s="106" customFormat="1" x14ac:dyDescent="0.25">
      <c r="B145" s="168" t="s">
        <v>781</v>
      </c>
      <c r="C145" s="107" t="s">
        <v>1198</v>
      </c>
      <c r="D145" s="171" t="s">
        <v>8</v>
      </c>
      <c r="E145" s="198"/>
      <c r="F145" s="198"/>
      <c r="G145" s="198"/>
      <c r="H145" s="198"/>
      <c r="I145" s="198"/>
      <c r="J145" s="164"/>
    </row>
    <row r="146" spans="2:10" s="106" customFormat="1" ht="26.4" x14ac:dyDescent="0.25">
      <c r="B146" s="168" t="s">
        <v>786</v>
      </c>
      <c r="C146" s="107" t="s">
        <v>1199</v>
      </c>
      <c r="D146" s="171" t="s">
        <v>9</v>
      </c>
      <c r="E146" s="98"/>
      <c r="F146" s="198"/>
      <c r="G146" s="198"/>
      <c r="H146" s="198"/>
      <c r="I146" s="198"/>
      <c r="J146" s="164"/>
    </row>
    <row r="147" spans="2:10" s="106" customFormat="1" ht="26.4" x14ac:dyDescent="0.25">
      <c r="B147" s="168" t="s">
        <v>705</v>
      </c>
      <c r="C147" s="107" t="s">
        <v>1200</v>
      </c>
      <c r="D147" s="171" t="s">
        <v>10</v>
      </c>
      <c r="E147" s="198"/>
      <c r="F147" s="198"/>
      <c r="G147" s="198"/>
      <c r="H147" s="198"/>
      <c r="I147" s="198"/>
      <c r="J147" s="164"/>
    </row>
    <row r="148" spans="2:10" s="106" customFormat="1" x14ac:dyDescent="0.25">
      <c r="B148" s="168" t="s">
        <v>881</v>
      </c>
      <c r="C148" s="107" t="s">
        <v>1260</v>
      </c>
      <c r="D148" s="171" t="s">
        <v>1261</v>
      </c>
      <c r="E148" s="202"/>
      <c r="F148" s="203"/>
      <c r="G148" s="203"/>
      <c r="H148" s="203"/>
      <c r="I148" s="203"/>
      <c r="J148" s="204"/>
    </row>
    <row r="149" spans="2:10" s="106" customFormat="1" x14ac:dyDescent="0.25">
      <c r="B149" s="168" t="s">
        <v>826</v>
      </c>
      <c r="C149" s="107" t="s">
        <v>1262</v>
      </c>
      <c r="D149" s="171" t="s">
        <v>1263</v>
      </c>
      <c r="E149" s="202"/>
      <c r="F149" s="203"/>
      <c r="G149" s="203"/>
      <c r="H149" s="203"/>
      <c r="I149" s="203"/>
      <c r="J149" s="204"/>
    </row>
    <row r="150" spans="2:10" s="106" customFormat="1" ht="13.8" thickBot="1" x14ac:dyDescent="0.3">
      <c r="B150" s="170"/>
      <c r="C150" s="116"/>
      <c r="D150" s="114"/>
      <c r="E150" s="112"/>
      <c r="F150" s="200"/>
      <c r="G150" s="200"/>
      <c r="H150" s="200"/>
      <c r="I150" s="200"/>
      <c r="J150" s="113"/>
    </row>
    <row r="151" spans="2:10" s="109" customFormat="1" ht="118.8" x14ac:dyDescent="0.25">
      <c r="B151" s="169" t="s">
        <v>1210</v>
      </c>
      <c r="C151" s="299" t="s">
        <v>1284</v>
      </c>
      <c r="D151" s="300"/>
      <c r="E151" s="186" t="s">
        <v>1285</v>
      </c>
      <c r="F151" s="186" t="s">
        <v>1207</v>
      </c>
      <c r="G151" s="186" t="s">
        <v>1266</v>
      </c>
      <c r="H151" s="186" t="s">
        <v>1267</v>
      </c>
      <c r="I151" s="186" t="s">
        <v>1314</v>
      </c>
      <c r="J151" s="186" t="s">
        <v>1268</v>
      </c>
    </row>
    <row r="152" spans="2:10" s="106" customFormat="1" ht="26.4" x14ac:dyDescent="0.25">
      <c r="B152" s="168" t="s">
        <v>354</v>
      </c>
      <c r="C152" s="107" t="s">
        <v>1247</v>
      </c>
      <c r="D152" s="171" t="s">
        <v>1229</v>
      </c>
      <c r="E152" s="250"/>
      <c r="F152" s="218"/>
      <c r="G152" s="218"/>
      <c r="H152" s="218"/>
      <c r="I152" s="218"/>
      <c r="J152" s="252"/>
    </row>
    <row r="153" spans="2:10" s="106" customFormat="1" ht="26.4" x14ac:dyDescent="0.25">
      <c r="B153" s="168" t="s">
        <v>1211</v>
      </c>
      <c r="C153" s="107" t="s">
        <v>1246</v>
      </c>
      <c r="D153" s="171" t="s">
        <v>1230</v>
      </c>
      <c r="E153" s="250"/>
      <c r="F153" s="218"/>
      <c r="G153" s="218"/>
      <c r="H153" s="218"/>
      <c r="I153" s="218"/>
      <c r="J153" s="252"/>
    </row>
    <row r="154" spans="2:10" s="106" customFormat="1" ht="28.5" customHeight="1" x14ac:dyDescent="0.25">
      <c r="B154" s="168" t="s">
        <v>1212</v>
      </c>
      <c r="C154" s="107" t="s">
        <v>1245</v>
      </c>
      <c r="D154" s="171" t="s">
        <v>1231</v>
      </c>
      <c r="E154" s="250"/>
      <c r="F154" s="218"/>
      <c r="G154" s="218"/>
      <c r="H154" s="218"/>
      <c r="I154" s="218"/>
      <c r="J154" s="252"/>
    </row>
    <row r="155" spans="2:10" s="106" customFormat="1" x14ac:dyDescent="0.25">
      <c r="B155" s="168" t="s">
        <v>1213</v>
      </c>
      <c r="C155" s="107" t="s">
        <v>1244</v>
      </c>
      <c r="D155" s="171" t="s">
        <v>1232</v>
      </c>
      <c r="E155" s="250"/>
      <c r="F155" s="218"/>
      <c r="G155" s="218"/>
      <c r="H155" s="218"/>
      <c r="I155" s="218"/>
      <c r="J155" s="252"/>
    </row>
    <row r="156" spans="2:10" s="106" customFormat="1" ht="26.4" x14ac:dyDescent="0.25">
      <c r="B156" s="168" t="s">
        <v>1214</v>
      </c>
      <c r="C156" s="107" t="s">
        <v>1243</v>
      </c>
      <c r="D156" s="171" t="s">
        <v>1233</v>
      </c>
      <c r="E156" s="250"/>
      <c r="F156" s="218"/>
      <c r="G156" s="218"/>
      <c r="H156" s="218"/>
      <c r="I156" s="218"/>
      <c r="J156" s="252"/>
    </row>
    <row r="157" spans="2:10" s="106" customFormat="1" ht="26.4" x14ac:dyDescent="0.25">
      <c r="B157" s="168" t="s">
        <v>1215</v>
      </c>
      <c r="C157" s="107" t="s">
        <v>1242</v>
      </c>
      <c r="D157" s="171" t="s">
        <v>1234</v>
      </c>
      <c r="E157" s="250"/>
      <c r="F157" s="218"/>
      <c r="G157" s="218"/>
      <c r="H157" s="218"/>
      <c r="I157" s="218"/>
      <c r="J157" s="252"/>
    </row>
    <row r="158" spans="2:10" s="106" customFormat="1" ht="39.6" x14ac:dyDescent="0.25">
      <c r="B158" s="168" t="s">
        <v>1216</v>
      </c>
      <c r="C158" s="107" t="s">
        <v>1241</v>
      </c>
      <c r="D158" s="171" t="s">
        <v>1235</v>
      </c>
      <c r="E158" s="250"/>
      <c r="F158" s="218"/>
      <c r="G158" s="218"/>
      <c r="H158" s="218"/>
      <c r="I158" s="218"/>
      <c r="J158" s="252"/>
    </row>
    <row r="159" spans="2:10" s="106" customFormat="1" ht="39.6" x14ac:dyDescent="0.25">
      <c r="B159" s="168" t="s">
        <v>1217</v>
      </c>
      <c r="C159" s="107" t="s">
        <v>1240</v>
      </c>
      <c r="D159" s="171" t="s">
        <v>699</v>
      </c>
      <c r="E159" s="250"/>
      <c r="F159" s="218"/>
      <c r="G159" s="218"/>
      <c r="H159" s="218"/>
      <c r="I159" s="218"/>
      <c r="J159" s="252"/>
    </row>
    <row r="160" spans="2:10" s="106" customFormat="1" ht="26.4" x14ac:dyDescent="0.25">
      <c r="B160" s="168" t="s">
        <v>1218</v>
      </c>
      <c r="C160" s="107" t="s">
        <v>1239</v>
      </c>
      <c r="D160" s="171" t="s">
        <v>1236</v>
      </c>
      <c r="E160" s="250"/>
      <c r="F160" s="218"/>
      <c r="G160" s="218"/>
      <c r="H160" s="218"/>
      <c r="I160" s="218"/>
      <c r="J160" s="252"/>
    </row>
    <row r="161" spans="2:11" s="106" customFormat="1" ht="26.4" x14ac:dyDescent="0.25">
      <c r="B161" s="168" t="s">
        <v>1219</v>
      </c>
      <c r="C161" s="107" t="s">
        <v>1238</v>
      </c>
      <c r="D161" s="171" t="s">
        <v>1237</v>
      </c>
      <c r="E161" s="250"/>
      <c r="F161" s="218"/>
      <c r="G161" s="218"/>
      <c r="H161" s="218"/>
      <c r="I161" s="218"/>
      <c r="J161" s="252"/>
    </row>
    <row r="162" spans="2:11" s="106" customFormat="1" ht="27" customHeight="1" x14ac:dyDescent="0.25">
      <c r="B162" s="168" t="s">
        <v>1220</v>
      </c>
      <c r="C162" s="107" t="s">
        <v>1248</v>
      </c>
      <c r="D162" s="171" t="s">
        <v>1249</v>
      </c>
      <c r="E162" s="250"/>
      <c r="F162" s="218"/>
      <c r="G162" s="218"/>
      <c r="H162" s="218"/>
      <c r="I162" s="218"/>
      <c r="J162" s="252"/>
    </row>
    <row r="163" spans="2:11" s="106" customFormat="1" ht="27" customHeight="1" x14ac:dyDescent="0.25">
      <c r="B163" s="168" t="s">
        <v>1221</v>
      </c>
      <c r="C163" s="107" t="s">
        <v>1255</v>
      </c>
      <c r="D163" s="171" t="s">
        <v>1250</v>
      </c>
      <c r="E163" s="250"/>
      <c r="F163" s="218"/>
      <c r="G163" s="218"/>
      <c r="H163" s="218"/>
      <c r="I163" s="218"/>
      <c r="J163" s="252"/>
    </row>
    <row r="164" spans="2:11" s="106" customFormat="1" ht="26.4" x14ac:dyDescent="0.25">
      <c r="B164" s="168" t="s">
        <v>1222</v>
      </c>
      <c r="C164" s="107" t="s">
        <v>1256</v>
      </c>
      <c r="D164" s="171" t="s">
        <v>1251</v>
      </c>
      <c r="E164" s="250"/>
      <c r="F164" s="218"/>
      <c r="G164" s="218"/>
      <c r="H164" s="218"/>
      <c r="I164" s="218"/>
      <c r="J164" s="252"/>
    </row>
    <row r="165" spans="2:11" s="106" customFormat="1" ht="39.6" x14ac:dyDescent="0.25">
      <c r="B165" s="168" t="s">
        <v>1223</v>
      </c>
      <c r="C165" s="107" t="s">
        <v>1257</v>
      </c>
      <c r="D165" s="201" t="s">
        <v>1252</v>
      </c>
      <c r="E165" s="250"/>
      <c r="F165" s="218"/>
      <c r="G165" s="218"/>
      <c r="H165" s="218"/>
      <c r="I165" s="218"/>
      <c r="J165" s="252"/>
    </row>
    <row r="166" spans="2:11" s="106" customFormat="1" ht="26.4" x14ac:dyDescent="0.25">
      <c r="B166" s="168" t="s">
        <v>1224</v>
      </c>
      <c r="C166" s="107" t="s">
        <v>1258</v>
      </c>
      <c r="D166" s="201" t="s">
        <v>1253</v>
      </c>
      <c r="E166" s="250"/>
      <c r="F166" s="218"/>
      <c r="G166" s="218"/>
      <c r="H166" s="218"/>
      <c r="I166" s="218"/>
      <c r="J166" s="252"/>
    </row>
    <row r="167" spans="2:11" s="106" customFormat="1" ht="52.8" x14ac:dyDescent="0.25">
      <c r="B167" s="168" t="s">
        <v>1225</v>
      </c>
      <c r="C167" s="107" t="s">
        <v>1259</v>
      </c>
      <c r="D167" s="201" t="s">
        <v>1254</v>
      </c>
      <c r="E167" s="250"/>
      <c r="F167" s="218"/>
      <c r="G167" s="218"/>
      <c r="H167" s="218"/>
      <c r="I167" s="218"/>
      <c r="J167" s="252"/>
    </row>
    <row r="168" spans="2:11" s="106" customFormat="1" x14ac:dyDescent="0.25">
      <c r="B168" s="168" t="s">
        <v>1226</v>
      </c>
      <c r="C168" s="107" t="s">
        <v>1260</v>
      </c>
      <c r="D168" s="171" t="s">
        <v>1261</v>
      </c>
      <c r="E168" s="250"/>
      <c r="F168" s="218"/>
      <c r="G168" s="218"/>
      <c r="H168" s="218"/>
      <c r="I168" s="218"/>
      <c r="J168" s="252"/>
    </row>
    <row r="169" spans="2:11" s="106" customFormat="1" x14ac:dyDescent="0.25">
      <c r="B169" s="168" t="s">
        <v>1227</v>
      </c>
      <c r="C169" s="107" t="s">
        <v>1262</v>
      </c>
      <c r="D169" s="171" t="s">
        <v>1263</v>
      </c>
      <c r="E169" s="250"/>
      <c r="F169" s="218"/>
      <c r="G169" s="218"/>
      <c r="H169" s="218"/>
      <c r="I169" s="218"/>
      <c r="J169" s="252"/>
    </row>
    <row r="170" spans="2:11" s="106" customFormat="1" x14ac:dyDescent="0.25">
      <c r="B170" s="168" t="s">
        <v>1228</v>
      </c>
      <c r="C170" s="107" t="s">
        <v>1264</v>
      </c>
      <c r="D170" s="171" t="s">
        <v>1265</v>
      </c>
      <c r="E170" s="250"/>
      <c r="F170" s="218"/>
      <c r="G170" s="218"/>
      <c r="H170" s="218"/>
      <c r="I170" s="218"/>
      <c r="J170" s="252"/>
    </row>
    <row r="171" spans="2:11" s="106" customFormat="1" ht="13.8" thickBot="1" x14ac:dyDescent="0.3">
      <c r="B171" s="170"/>
      <c r="C171" s="116"/>
      <c r="D171" s="114"/>
      <c r="E171" s="112"/>
      <c r="F171" s="200"/>
      <c r="G171" s="200"/>
      <c r="H171" s="200"/>
      <c r="I171" s="200"/>
      <c r="J171" s="113"/>
    </row>
    <row r="172" spans="2:11" s="109" customFormat="1" ht="43.5" customHeight="1" x14ac:dyDescent="0.25">
      <c r="B172" s="169" t="s">
        <v>1287</v>
      </c>
      <c r="C172" s="307" t="s">
        <v>1305</v>
      </c>
      <c r="D172" s="308"/>
      <c r="E172" s="308"/>
      <c r="F172" s="308"/>
      <c r="G172" s="308"/>
      <c r="H172" s="308"/>
      <c r="I172" s="308"/>
      <c r="J172" s="309"/>
    </row>
    <row r="173" spans="2:11" s="20" customFormat="1" x14ac:dyDescent="0.25">
      <c r="B173" s="133" t="s">
        <v>356</v>
      </c>
      <c r="C173" s="107" t="s">
        <v>1288</v>
      </c>
      <c r="D173" s="207"/>
      <c r="E173" s="207"/>
      <c r="F173" s="207"/>
      <c r="G173" s="207"/>
      <c r="H173" s="207"/>
      <c r="I173" s="207"/>
      <c r="J173" s="208"/>
      <c r="K173" s="14"/>
    </row>
    <row r="174" spans="2:11" s="20" customFormat="1" x14ac:dyDescent="0.25">
      <c r="B174" s="133" t="s">
        <v>1289</v>
      </c>
      <c r="C174" s="107" t="s">
        <v>1290</v>
      </c>
      <c r="D174" s="207"/>
      <c r="E174" s="207"/>
      <c r="F174" s="207"/>
      <c r="G174" s="207"/>
      <c r="H174" s="207"/>
      <c r="I174" s="207"/>
      <c r="J174" s="208"/>
      <c r="K174" s="14"/>
    </row>
    <row r="175" spans="2:11" s="20" customFormat="1" x14ac:dyDescent="0.25">
      <c r="B175" s="133" t="s">
        <v>1291</v>
      </c>
      <c r="C175" s="107" t="s">
        <v>1292</v>
      </c>
      <c r="D175" s="207"/>
      <c r="E175" s="207"/>
      <c r="F175" s="207"/>
      <c r="G175" s="207"/>
      <c r="H175" s="207"/>
      <c r="I175" s="207"/>
      <c r="J175" s="208"/>
      <c r="K175" s="14"/>
    </row>
    <row r="176" spans="2:11" s="20" customFormat="1" x14ac:dyDescent="0.25">
      <c r="B176" s="133" t="s">
        <v>1293</v>
      </c>
      <c r="C176" s="107" t="s">
        <v>1294</v>
      </c>
      <c r="D176" s="207"/>
      <c r="E176" s="207"/>
      <c r="F176" s="207"/>
      <c r="G176" s="207"/>
      <c r="H176" s="207"/>
      <c r="I176" s="207"/>
      <c r="J176" s="208"/>
      <c r="K176" s="14"/>
    </row>
    <row r="177" spans="2:11" s="20" customFormat="1" x14ac:dyDescent="0.25">
      <c r="B177" s="133" t="s">
        <v>1295</v>
      </c>
      <c r="C177" s="107" t="s">
        <v>1296</v>
      </c>
      <c r="D177" s="207"/>
      <c r="E177" s="207"/>
      <c r="F177" s="207"/>
      <c r="G177" s="207"/>
      <c r="H177" s="207"/>
      <c r="I177" s="207"/>
      <c r="J177" s="208"/>
      <c r="K177" s="14"/>
    </row>
    <row r="178" spans="2:11" s="20" customFormat="1" x14ac:dyDescent="0.25">
      <c r="B178" s="133" t="s">
        <v>1297</v>
      </c>
      <c r="C178" s="107" t="s">
        <v>1298</v>
      </c>
      <c r="D178" s="207"/>
      <c r="E178" s="207"/>
      <c r="F178" s="207"/>
      <c r="G178" s="207"/>
      <c r="H178" s="207"/>
      <c r="I178" s="207"/>
      <c r="J178" s="208"/>
      <c r="K178" s="14"/>
    </row>
    <row r="179" spans="2:11" s="20" customFormat="1" x14ac:dyDescent="0.25">
      <c r="B179" s="133" t="s">
        <v>1299</v>
      </c>
      <c r="C179" s="107" t="s">
        <v>1300</v>
      </c>
      <c r="D179" s="207"/>
      <c r="E179" s="207"/>
      <c r="F179" s="207"/>
      <c r="G179" s="207"/>
      <c r="H179" s="207"/>
      <c r="I179" s="207"/>
      <c r="J179" s="208"/>
      <c r="K179" s="14"/>
    </row>
    <row r="180" spans="2:11" s="20" customFormat="1" x14ac:dyDescent="0.25">
      <c r="B180" s="133" t="s">
        <v>1301</v>
      </c>
      <c r="C180" s="107" t="s">
        <v>1302</v>
      </c>
      <c r="D180" s="207"/>
      <c r="E180" s="207"/>
      <c r="F180" s="207"/>
      <c r="G180" s="207"/>
      <c r="H180" s="207"/>
      <c r="I180" s="207"/>
      <c r="J180" s="208"/>
      <c r="K180" s="14"/>
    </row>
    <row r="181" spans="2:11" s="20" customFormat="1" x14ac:dyDescent="0.25">
      <c r="B181" s="133" t="s">
        <v>1303</v>
      </c>
      <c r="C181" s="107" t="s">
        <v>1304</v>
      </c>
      <c r="D181" s="207"/>
      <c r="E181" s="207"/>
      <c r="F181" s="207"/>
      <c r="G181" s="207"/>
      <c r="H181" s="207"/>
      <c r="I181" s="207"/>
      <c r="J181" s="208"/>
      <c r="K181" s="14"/>
    </row>
    <row r="182" spans="2:11" s="106" customFormat="1" ht="13.8" thickBot="1" x14ac:dyDescent="0.3">
      <c r="B182" s="170"/>
      <c r="C182" s="116"/>
      <c r="D182" s="297"/>
      <c r="E182" s="297"/>
      <c r="F182" s="297"/>
      <c r="G182" s="297"/>
      <c r="H182" s="297"/>
      <c r="I182" s="297"/>
      <c r="J182" s="298"/>
    </row>
  </sheetData>
  <sheetProtection password="C650" sheet="1" selectLockedCells="1"/>
  <mergeCells count="53">
    <mergeCell ref="D182:J182"/>
    <mergeCell ref="C124:D124"/>
    <mergeCell ref="C151:D151"/>
    <mergeCell ref="C41:J41"/>
    <mergeCell ref="C86:J86"/>
    <mergeCell ref="F87:J87"/>
    <mergeCell ref="F115:J115"/>
    <mergeCell ref="F42:J42"/>
    <mergeCell ref="F55:J55"/>
    <mergeCell ref="F57:J57"/>
    <mergeCell ref="F70:J70"/>
    <mergeCell ref="F72:J72"/>
    <mergeCell ref="F85:J85"/>
    <mergeCell ref="C71:J71"/>
    <mergeCell ref="C172:J172"/>
    <mergeCell ref="C56:J56"/>
    <mergeCell ref="C21:J21"/>
    <mergeCell ref="C31:J31"/>
    <mergeCell ref="C38:J38"/>
    <mergeCell ref="C36:J36"/>
    <mergeCell ref="C37:J37"/>
    <mergeCell ref="C32:J32"/>
    <mergeCell ref="C33:J33"/>
    <mergeCell ref="C35:J35"/>
    <mergeCell ref="C22:J22"/>
    <mergeCell ref="C23:J23"/>
    <mergeCell ref="C24:J24"/>
    <mergeCell ref="C25:J25"/>
    <mergeCell ref="C26:J26"/>
    <mergeCell ref="C17:J17"/>
    <mergeCell ref="C18:J18"/>
    <mergeCell ref="C19:J19"/>
    <mergeCell ref="C20:J20"/>
    <mergeCell ref="C9:J9"/>
    <mergeCell ref="C13:J13"/>
    <mergeCell ref="C10:J10"/>
    <mergeCell ref="C11:J11"/>
    <mergeCell ref="C12:J12"/>
    <mergeCell ref="C14:J14"/>
    <mergeCell ref="C15:J15"/>
    <mergeCell ref="C16:J16"/>
    <mergeCell ref="B1:J1"/>
    <mergeCell ref="B2:J2"/>
    <mergeCell ref="C6:J6"/>
    <mergeCell ref="C7:J7"/>
    <mergeCell ref="C8:J8"/>
    <mergeCell ref="B3:J3"/>
    <mergeCell ref="C39:J39"/>
    <mergeCell ref="C40:J40"/>
    <mergeCell ref="C27:J27"/>
    <mergeCell ref="C28:J28"/>
    <mergeCell ref="C29:J29"/>
    <mergeCell ref="C30:J30"/>
  </mergeCells>
  <phoneticPr fontId="14" type="noConversion"/>
  <conditionalFormatting sqref="E116:I116 E1:I5 C6:C115 K1:K116">
    <cfRule type="cellIs" dxfId="5" priority="7" stopIfTrue="1" operator="equal">
      <formula>"??"</formula>
    </cfRule>
  </conditionalFormatting>
  <conditionalFormatting sqref="K173">
    <cfRule type="cellIs" dxfId="4" priority="6" stopIfTrue="1" operator="equal">
      <formula>"??"</formula>
    </cfRule>
  </conditionalFormatting>
  <conditionalFormatting sqref="K174:K181">
    <cfRule type="cellIs" dxfId="3" priority="5" stopIfTrue="1" operator="equal">
      <formula>"??"</formula>
    </cfRule>
  </conditionalFormatting>
  <conditionalFormatting sqref="C7:C9">
    <cfRule type="cellIs" dxfId="2" priority="3" stopIfTrue="1" operator="equal">
      <formula>"??"</formula>
    </cfRule>
  </conditionalFormatting>
  <conditionalFormatting sqref="C22:C25">
    <cfRule type="cellIs" dxfId="1" priority="2" stopIfTrue="1" operator="equal">
      <formula>"??"</formula>
    </cfRule>
  </conditionalFormatting>
  <conditionalFormatting sqref="C32">
    <cfRule type="cellIs" dxfId="0" priority="1" stopIfTrue="1" operator="equal">
      <formula>"??"</formula>
    </cfRule>
  </conditionalFormatting>
  <dataValidations count="1">
    <dataValidation type="list" allowBlank="1" showInputMessage="1" showErrorMessage="1" sqref="G73:I84 G43:I54 G58:I69 E43:F55 E58:F70 E73:F85 E88:F115 G88:I114">
      <formula1>"Local,Imported"</formula1>
    </dataValidation>
  </dataValidations>
  <pageMargins left="0.4" right="0.41" top="1.21" bottom="0.39" header="0.51" footer="0.25"/>
  <pageSetup paperSize="9" scale="72" orientation="portrait" r:id="rId1"/>
  <headerFooter alignWithMargins="0">
    <oddHeader>&amp;LESKOM 
Enquiry No.: __________________________
Project Name: __________________________&amp;RPage: &amp;P
Tenderers Name: __________________________
Date: _____/_____/_____
A &amp;&amp; B Schedule - Rev 2</oddHeader>
    <oddFooter>&amp;LUnrestricted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19</vt:i4>
      </vt:variant>
    </vt:vector>
  </HeadingPairs>
  <TitlesOfParts>
    <vt:vector size="22" baseType="lpstr">
      <vt:lpstr>Technical Schedule</vt:lpstr>
      <vt:lpstr>Deviation Schedule</vt:lpstr>
      <vt:lpstr>Tools, Spares,Drwg &amp; Type Tests</vt:lpstr>
      <vt:lpstr>'Technical Schedule'!_Toc226523274</vt:lpstr>
      <vt:lpstr>'Technical Schedule'!_Toc267662664</vt:lpstr>
      <vt:lpstr>'Technical Schedule'!_Toc267662668</vt:lpstr>
      <vt:lpstr>'Technical Schedule'!_Toc269213741</vt:lpstr>
      <vt:lpstr>'Technical Schedule'!_Toc269908433</vt:lpstr>
      <vt:lpstr>'Technical Schedule'!_Toc269908438</vt:lpstr>
      <vt:lpstr>'Technical Schedule'!_Toc269908442</vt:lpstr>
      <vt:lpstr>'Technical Schedule'!_Toc269908444</vt:lpstr>
      <vt:lpstr>'Technical Schedule'!_Toc269908446</vt:lpstr>
      <vt:lpstr>'Technical Schedule'!_Toc269908447</vt:lpstr>
      <vt:lpstr>'Technical Schedule'!_Toc269908448</vt:lpstr>
      <vt:lpstr>'Technical Schedule'!_Toc269908452</vt:lpstr>
      <vt:lpstr>END</vt:lpstr>
      <vt:lpstr>Item</vt:lpstr>
      <vt:lpstr>'Technical Schedule'!Print_Area</vt:lpstr>
      <vt:lpstr>'Tools, Spares,Drwg &amp; Type Tests'!Print_Area</vt:lpstr>
      <vt:lpstr>'Technical Schedule'!Print_Titles</vt:lpstr>
      <vt:lpstr>Schedule_A</vt:lpstr>
      <vt:lpstr>Spec_Rev_No</vt:lpstr>
    </vt:vector>
  </TitlesOfParts>
  <Company>Eskom Distribution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Rhett Kelly</dc:creator>
  <cp:keywords>C_Unrestricted</cp:keywords>
  <dc:description>smirre</dc:description>
  <cp:lastModifiedBy>Queeneth Khumalo</cp:lastModifiedBy>
  <cp:lastPrinted>2014-03-14T09:29:59Z</cp:lastPrinted>
  <dcterms:created xsi:type="dcterms:W3CDTF">2006-06-26T18:40:43Z</dcterms:created>
  <dcterms:modified xsi:type="dcterms:W3CDTF">2022-01-17T15:03:46Z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Document Confidentiality">
    <vt:lpwstr>Unrestricted</vt:lpwstr>
  </property>
</Properties>
</file>